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lewis\Desktop\FY17\New Funds Received\"/>
    </mc:Choice>
  </mc:AlternateContent>
  <bookViews>
    <workbookView xWindow="0" yWindow="0" windowWidth="19200" windowHeight="11730" tabRatio="937"/>
  </bookViews>
  <sheets>
    <sheet name="Trend Data " sheetId="1" r:id="rId1"/>
    <sheet name="Enrollment By Campus or Site" sheetId="2" r:id="rId2"/>
    <sheet name="Faculty Work Load" sheetId="7" r:id="rId3"/>
    <sheet name="Reserve Balances" sheetId="8" r:id="rId4"/>
    <sheet name="Reduction Actions" sheetId="3" r:id="rId5"/>
  </sheets>
  <definedNames>
    <definedName name="_xlnm.Print_Area" localSheetId="1">'Enrollment By Campus or Site'!$A$1:$G$20</definedName>
    <definedName name="_xlnm.Print_Area" localSheetId="0">'Trend Data '!$A$1:$G$128</definedName>
    <definedName name="_xlnm.Print_Titles" localSheetId="1">'Enrollment By Campus or Site'!$1:$7</definedName>
    <definedName name="_xlnm.Print_Titles" localSheetId="0">'Trend Data '!$1:$4</definedName>
    <definedName name="Z_7EBEC4A1_7860_4B15_928B_78DDE884C503_.wvu.PrintArea" localSheetId="1" hidden="1">'Enrollment By Campus or Site'!$A$1:$G$20</definedName>
    <definedName name="Z_7EBEC4A1_7860_4B15_928B_78DDE884C503_.wvu.PrintArea" localSheetId="0" hidden="1">'Trend Data '!$A$1:$G$127</definedName>
    <definedName name="Z_7EBEC4A1_7860_4B15_928B_78DDE884C503_.wvu.PrintTitles" localSheetId="1" hidden="1">'Enrollment By Campus or Site'!$1:$7</definedName>
    <definedName name="Z_7EBEC4A1_7860_4B15_928B_78DDE884C503_.wvu.PrintTitles" localSheetId="0" hidden="1">'Trend Data '!$1:$4</definedName>
  </definedNames>
  <calcPr calcId="162913"/>
  <customWorkbookViews>
    <customWorkbookView name="Jason A. Matt - Personal View" guid="{7EBEC4A1-7860-4B15-928B-78DDE884C503}" mergeInterval="0" personalView="1" maximized="1" xWindow="-1928" yWindow="-8" windowWidth="1936" windowHeight="1066" tabRatio="937" activeSheetId="1"/>
  </customWorkbookViews>
</workbook>
</file>

<file path=xl/calcChain.xml><?xml version="1.0" encoding="utf-8"?>
<calcChain xmlns="http://schemas.openxmlformats.org/spreadsheetml/2006/main">
  <c r="D52" i="1" l="1"/>
  <c r="C52" i="1"/>
  <c r="B52" i="1"/>
  <c r="D17" i="8"/>
  <c r="D16" i="8"/>
  <c r="D15" i="8"/>
  <c r="D14" i="8"/>
  <c r="D13" i="8"/>
  <c r="D12" i="8"/>
  <c r="D11" i="8"/>
  <c r="D10" i="8"/>
  <c r="D33" i="8"/>
  <c r="D32" i="8"/>
  <c r="D31" i="8"/>
  <c r="D30" i="8"/>
  <c r="D29" i="8"/>
  <c r="D28" i="8"/>
  <c r="D27" i="8"/>
  <c r="D26" i="8"/>
  <c r="D25" i="8"/>
  <c r="D24" i="8"/>
  <c r="B113" i="1"/>
  <c r="B110" i="1"/>
  <c r="D103" i="1"/>
  <c r="C103" i="1"/>
  <c r="B103" i="1"/>
  <c r="C93" i="1"/>
  <c r="B93" i="1"/>
  <c r="B95" i="1" s="1"/>
  <c r="E85" i="1"/>
  <c r="D85" i="1"/>
  <c r="C85" i="1"/>
  <c r="B85" i="1"/>
  <c r="E76" i="1"/>
  <c r="C73" i="1"/>
  <c r="B73" i="1"/>
  <c r="F73" i="1" s="1"/>
  <c r="G18" i="2"/>
  <c r="F18" i="2"/>
  <c r="E18" i="2"/>
  <c r="G21" i="1"/>
  <c r="F21" i="1"/>
  <c r="G20" i="1"/>
  <c r="F20" i="1"/>
  <c r="L18" i="1"/>
  <c r="L17" i="1"/>
  <c r="B5" i="8"/>
  <c r="B5" i="7"/>
  <c r="B6" i="2"/>
  <c r="B4" i="3"/>
  <c r="C66" i="1"/>
  <c r="D66" i="1"/>
  <c r="G63" i="1" s="1"/>
  <c r="G58" i="1"/>
  <c r="B66" i="1"/>
  <c r="E62" i="1" s="1"/>
  <c r="F57" i="1"/>
  <c r="F58" i="1"/>
  <c r="F59" i="1"/>
  <c r="F60" i="1"/>
  <c r="F61" i="1"/>
  <c r="G61" i="1"/>
  <c r="F62" i="1"/>
  <c r="F63" i="1"/>
  <c r="F64" i="1"/>
  <c r="F65" i="1"/>
  <c r="G65" i="1"/>
  <c r="E60" i="1"/>
  <c r="G64" i="1"/>
  <c r="G62" i="1"/>
  <c r="G40" i="1"/>
  <c r="F40" i="1"/>
  <c r="G39" i="1"/>
  <c r="F39" i="1"/>
  <c r="G38" i="1"/>
  <c r="F38" i="1"/>
  <c r="G37" i="1"/>
  <c r="F37" i="1"/>
  <c r="G76" i="1"/>
  <c r="F76" i="1"/>
  <c r="G75" i="1"/>
  <c r="F75" i="1"/>
  <c r="G74" i="1"/>
  <c r="F74" i="1"/>
  <c r="G73" i="1"/>
  <c r="G71" i="1"/>
  <c r="F71" i="1"/>
  <c r="G115" i="1"/>
  <c r="F115" i="1"/>
  <c r="G114" i="1"/>
  <c r="F114" i="1"/>
  <c r="G112" i="1"/>
  <c r="F112" i="1"/>
  <c r="G111" i="1"/>
  <c r="F111" i="1"/>
  <c r="G109" i="1"/>
  <c r="F109" i="1"/>
  <c r="F108" i="1"/>
  <c r="D18" i="2"/>
  <c r="C18" i="2"/>
  <c r="B18" i="2"/>
  <c r="E113" i="1"/>
  <c r="F113" i="1" s="1"/>
  <c r="D113" i="1"/>
  <c r="C113" i="1"/>
  <c r="E110" i="1"/>
  <c r="F110" i="1" s="1"/>
  <c r="D110" i="1"/>
  <c r="G110" i="1" s="1"/>
  <c r="C110" i="1"/>
  <c r="G108" i="1"/>
  <c r="G104" i="1"/>
  <c r="F104" i="1"/>
  <c r="G102" i="1"/>
  <c r="F102" i="1"/>
  <c r="G101" i="1"/>
  <c r="F101" i="1"/>
  <c r="G100" i="1"/>
  <c r="F100" i="1"/>
  <c r="D95" i="1"/>
  <c r="C95" i="1"/>
  <c r="G48" i="1"/>
  <c r="F48" i="1"/>
  <c r="G47" i="1"/>
  <c r="F47" i="1"/>
  <c r="G45" i="1"/>
  <c r="F45" i="1"/>
  <c r="G44" i="1"/>
  <c r="F44" i="1"/>
  <c r="E11" i="1"/>
  <c r="D11" i="1"/>
  <c r="C11" i="1"/>
  <c r="B11" i="1"/>
  <c r="G10" i="1"/>
  <c r="F10" i="1"/>
  <c r="E10" i="1"/>
  <c r="D10" i="1"/>
  <c r="C10" i="1"/>
  <c r="G8" i="1"/>
  <c r="F8" i="1"/>
  <c r="E8" i="1"/>
  <c r="D8" i="1"/>
  <c r="C8" i="1"/>
  <c r="G113" i="1"/>
  <c r="G103" i="1"/>
  <c r="F103" i="1"/>
  <c r="F21" i="3"/>
  <c r="E21" i="3"/>
  <c r="D21" i="3"/>
  <c r="E57" i="1" l="1"/>
  <c r="E58" i="1"/>
  <c r="G60" i="1"/>
  <c r="E61" i="1"/>
  <c r="G57" i="1"/>
  <c r="E65" i="1"/>
  <c r="E64" i="1"/>
  <c r="G59" i="1"/>
  <c r="E59" i="1"/>
  <c r="E63" i="1"/>
</calcChain>
</file>

<file path=xl/sharedStrings.xml><?xml version="1.0" encoding="utf-8"?>
<sst xmlns="http://schemas.openxmlformats.org/spreadsheetml/2006/main" count="298" uniqueCount="213">
  <si>
    <t>Total</t>
  </si>
  <si>
    <t>Reduction Action</t>
  </si>
  <si>
    <t>Headcount</t>
  </si>
  <si>
    <t>FTE</t>
  </si>
  <si>
    <t>Fall 2012</t>
  </si>
  <si>
    <t>Fall 2013</t>
  </si>
  <si>
    <t>% Change in FTE over prior Fall</t>
  </si>
  <si>
    <t>Enrollment Trends</t>
  </si>
  <si>
    <t>Source:  Audited Financial Statements</t>
  </si>
  <si>
    <t>Cash and Equivalents</t>
  </si>
  <si>
    <t>S-T Investments</t>
  </si>
  <si>
    <t>Receivables</t>
  </si>
  <si>
    <t xml:space="preserve">Current Liabilities </t>
  </si>
  <si>
    <t>Lease Purchase Obligations (L-T)</t>
  </si>
  <si>
    <t>Net Assets - Unrestricted</t>
  </si>
  <si>
    <t>Financial Trends</t>
  </si>
  <si>
    <t>State Appropriations</t>
  </si>
  <si>
    <t>FY 2013</t>
  </si>
  <si>
    <t>Source:  Budget Compliance Report</t>
  </si>
  <si>
    <t>Institution Name:</t>
  </si>
  <si>
    <t>Tuition Revenue</t>
  </si>
  <si>
    <t>State funding per Student FTE</t>
  </si>
  <si>
    <t>Undergraduate Tuition</t>
  </si>
  <si>
    <t>Graduate Tuition</t>
  </si>
  <si>
    <t>Special Institutional Fee</t>
  </si>
  <si>
    <t>Sponsored Revenue</t>
  </si>
  <si>
    <t>In-State Tuition Revenue</t>
  </si>
  <si>
    <t>Out of-State Tuition Revenue</t>
  </si>
  <si>
    <t>Tuition Revenue Analysis (Fund 10500)</t>
  </si>
  <si>
    <t>Financial Trends - Auxiliary Operations</t>
  </si>
  <si>
    <t>FY 2015</t>
  </si>
  <si>
    <t>FY 2016</t>
  </si>
  <si>
    <r>
      <t xml:space="preserve"># of Positions Impacted             </t>
    </r>
    <r>
      <rPr>
        <b/>
        <sz val="12"/>
        <rFont val="Times New Roman"/>
        <family val="1"/>
      </rPr>
      <t>(if applicable)</t>
    </r>
  </si>
  <si>
    <t>FY 2017</t>
  </si>
  <si>
    <t xml:space="preserve">Funding </t>
  </si>
  <si>
    <t>Auxiliary Reserve Balance:</t>
  </si>
  <si>
    <t xml:space="preserve">     Unrestricted</t>
  </si>
  <si>
    <t>Total Auxiliary Reserve Balance</t>
  </si>
  <si>
    <t>Tuition Carry Forward</t>
  </si>
  <si>
    <t>Full-Time Staff</t>
  </si>
  <si>
    <t>Full-Time Faculty</t>
  </si>
  <si>
    <t xml:space="preserve">     Total Full-Time Employees</t>
  </si>
  <si>
    <t>Part-Time Faculty</t>
  </si>
  <si>
    <t>Part-Time Staff</t>
  </si>
  <si>
    <t xml:space="preserve">     R&amp;R Reserve</t>
  </si>
  <si>
    <t xml:space="preserve">     Reserved for Encumbrances </t>
  </si>
  <si>
    <t>Percent of Tuition Carried Forward</t>
  </si>
  <si>
    <t>Fall 2014</t>
  </si>
  <si>
    <t>Graduate Headcount</t>
  </si>
  <si>
    <t>The sum of graduate and undergraduate headcount must agree to the total headcount reported on row 7.</t>
  </si>
  <si>
    <t>Undergraduate Headcount</t>
  </si>
  <si>
    <t>Savings from Action ($)</t>
  </si>
  <si>
    <t xml:space="preserve">     Total Part-Time Employees</t>
  </si>
  <si>
    <t>$</t>
  </si>
  <si>
    <t>FY 2014</t>
  </si>
  <si>
    <t>Fall 2016 (Projected)</t>
  </si>
  <si>
    <t>% Change in Headcount over prior Fall</t>
  </si>
  <si>
    <t xml:space="preserve">Student Workers </t>
  </si>
  <si>
    <t>Graduate Assistants</t>
  </si>
  <si>
    <t>Financial Aid</t>
  </si>
  <si>
    <t>FY 2018</t>
  </si>
  <si>
    <t>FY 2012</t>
  </si>
  <si>
    <t>Percent Change from 6/30/14 to 6/30/15</t>
  </si>
  <si>
    <t>Capital Lease Obligations</t>
  </si>
  <si>
    <t>Capital Liability Burden Ratio</t>
  </si>
  <si>
    <r>
      <rPr>
        <i/>
        <u/>
        <sz val="9"/>
        <rFont val="Times New Roman"/>
        <family val="1"/>
      </rPr>
      <t>Capital Liability Burden Ratio</t>
    </r>
    <r>
      <rPr>
        <i/>
        <sz val="9"/>
        <rFont val="Times New Roman"/>
        <family val="1"/>
      </rPr>
      <t xml:space="preserve"> = Annual lease payments (principal + interest) divided by total revenues defined as follows ( the denominator of the fraction, total revenues, should include operating revenues and non-operating revenues, excluding capital gifts and grants and special item transfers).  </t>
    </r>
  </si>
  <si>
    <t>Annual Capital Lease Payments</t>
  </si>
  <si>
    <t>Total Capital Lease Obligations</t>
  </si>
  <si>
    <t>Student Housing Occupancy Rates</t>
  </si>
  <si>
    <t>Academics</t>
  </si>
  <si>
    <t>Total # of Active Programs</t>
  </si>
  <si>
    <t>Number of Degrees Awarded</t>
  </si>
  <si>
    <t>Number of Low Producing Programs</t>
  </si>
  <si>
    <t>% of Students Receiving Federal Loans</t>
  </si>
  <si>
    <t>Federal Student Loan Default Rate</t>
  </si>
  <si>
    <t>Total Auxiliaries Cash and Equivalents</t>
  </si>
  <si>
    <t>Viability Ratio</t>
  </si>
  <si>
    <t>Return on Net Assets Ratio</t>
  </si>
  <si>
    <t>Current Ratio</t>
  </si>
  <si>
    <t>Cash Ratio</t>
  </si>
  <si>
    <t>Primary Reserve Ratio</t>
  </si>
  <si>
    <t>Capital Liability Per FTE</t>
  </si>
  <si>
    <t>% of Undergraduates Receiving Pell</t>
  </si>
  <si>
    <t>% of Undergraduates Receiving HOPE</t>
  </si>
  <si>
    <r>
      <t xml:space="preserve">Six-Year </t>
    </r>
    <r>
      <rPr>
        <u/>
        <sz val="12"/>
        <color theme="1"/>
        <rFont val="Times New Roman"/>
        <family val="1"/>
      </rPr>
      <t>Graduation Rates</t>
    </r>
    <r>
      <rPr>
        <sz val="12"/>
        <color theme="1"/>
        <rFont val="Times New Roman"/>
        <family val="1"/>
      </rPr>
      <t xml:space="preserve">
First-Time Full-Time Freshman</t>
    </r>
  </si>
  <si>
    <t># of Online Students (Enrolled 100%)</t>
  </si>
  <si>
    <t>Provide Graduation and Retention Rates for the four most recent Cohorts available and indicate the cohorts in the highlighted cells below.</t>
  </si>
  <si>
    <r>
      <t xml:space="preserve">One-Year </t>
    </r>
    <r>
      <rPr>
        <u/>
        <sz val="12"/>
        <color theme="1"/>
        <rFont val="Times New Roman"/>
        <family val="1"/>
      </rPr>
      <t>Retention Rates</t>
    </r>
    <r>
      <rPr>
        <sz val="12"/>
        <color theme="1"/>
        <rFont val="Times New Roman"/>
        <family val="1"/>
      </rPr>
      <t xml:space="preserve">
for First-Time Full-Time Freshman</t>
    </r>
  </si>
  <si>
    <t>Employee Trends</t>
  </si>
  <si>
    <t>Three-Year Cohort Year</t>
  </si>
  <si>
    <t>FY 2010</t>
  </si>
  <si>
    <t>FY 2011</t>
  </si>
  <si>
    <t>Fall 2017 (Projected)</t>
  </si>
  <si>
    <t>FY 2017 Budget Hearing Data Sheet</t>
  </si>
  <si>
    <t>Fiscal Year 2017 Budget Hearing</t>
  </si>
  <si>
    <t>FY 2017 Reduction Target</t>
  </si>
  <si>
    <r>
      <rPr>
        <b/>
        <i/>
        <u/>
        <sz val="11"/>
        <color theme="1"/>
        <rFont val="Times New Roman"/>
        <family val="1"/>
      </rPr>
      <t>XX%</t>
    </r>
    <r>
      <rPr>
        <i/>
        <sz val="11"/>
        <color theme="1"/>
        <rFont val="Times New Roman"/>
        <family val="1"/>
      </rPr>
      <t xml:space="preserve"> of FY16 Original State Funds Budget)</t>
    </r>
  </si>
  <si>
    <t>FY 2019</t>
  </si>
  <si>
    <t>Entering Freshman</t>
  </si>
  <si>
    <t># of Students taking at least one (1) online course but not enrolled 100% online</t>
  </si>
  <si>
    <t>Fall Enrollment by Campus</t>
  </si>
  <si>
    <t>Campus/Site</t>
  </si>
  <si>
    <t>100% Online</t>
  </si>
  <si>
    <t xml:space="preserve">We understand that campus figures may be duplicated for students taking courses at multiple campuses. </t>
  </si>
  <si>
    <t xml:space="preserve">     Total</t>
  </si>
  <si>
    <t xml:space="preserve">Complete if your institution has multiple campuses and/or sites. </t>
  </si>
  <si>
    <t>Dually Enrolled Students</t>
  </si>
  <si>
    <r>
      <t xml:space="preserve">FY 2016             </t>
    </r>
    <r>
      <rPr>
        <b/>
        <sz val="11"/>
        <rFont val="Times New Roman"/>
        <family val="1"/>
      </rPr>
      <t xml:space="preserve"> (As of Fall 2015)</t>
    </r>
  </si>
  <si>
    <t>Fall 2015</t>
  </si>
  <si>
    <t>Percent Change from                          Fall 12 to Fall 15</t>
  </si>
  <si>
    <t>Percent Change from                          Fall 14 to Fall 15</t>
  </si>
  <si>
    <t>Percent Change from 6/30/13 to 6/30/15</t>
  </si>
  <si>
    <t>Financial Ratios (See attached Instructions)</t>
  </si>
  <si>
    <r>
      <t>FY 2016 (</t>
    </r>
    <r>
      <rPr>
        <b/>
        <sz val="9"/>
        <rFont val="Times New Roman"/>
        <family val="1"/>
      </rPr>
      <t>Projected)</t>
    </r>
  </si>
  <si>
    <t>Number of Out-of-State Students</t>
  </si>
  <si>
    <t>Number of Out-of-Country Students</t>
  </si>
  <si>
    <t>Percent Change from FY13 to FY15</t>
  </si>
  <si>
    <t>Percent Change from FY15 to FY16</t>
  </si>
  <si>
    <t>Expenditures</t>
  </si>
  <si>
    <t>Instruction</t>
  </si>
  <si>
    <t>Research</t>
  </si>
  <si>
    <t>Public Service</t>
  </si>
  <si>
    <t>Academic Support</t>
  </si>
  <si>
    <t>Student Services</t>
  </si>
  <si>
    <t>Institutional Support</t>
  </si>
  <si>
    <t>Plant Operations and Maintenance</t>
  </si>
  <si>
    <t>Scholarships and Fellowships</t>
  </si>
  <si>
    <t>Auxiliary Enterprises</t>
  </si>
  <si>
    <t>Total Operating Expenses</t>
  </si>
  <si>
    <t>AY 2012</t>
  </si>
  <si>
    <t>% of total expenditures</t>
  </si>
  <si>
    <t>Note: FY 2012 are expected to be published in late September</t>
  </si>
  <si>
    <t>AY Faculty Workload (Fall/Spring)</t>
  </si>
  <si>
    <t>Complete Tab Labeled Faculty Work Load</t>
  </si>
  <si>
    <t>Part II -  What Actions Would You Take if State Funding Declined in FY17?</t>
  </si>
  <si>
    <t>Faculty Work Load</t>
  </si>
  <si>
    <t>Academic Year Faculty Workload</t>
  </si>
  <si>
    <t>AY 2013</t>
  </si>
  <si>
    <t>AY 2014</t>
  </si>
  <si>
    <t>AY 2015</t>
  </si>
  <si>
    <t>AY 2016</t>
  </si>
  <si>
    <t>Faculty Type</t>
  </si>
  <si>
    <t>Instructor</t>
  </si>
  <si>
    <t>Assistant Professor</t>
  </si>
  <si>
    <t>Professor</t>
  </si>
  <si>
    <t>Associate Professor</t>
  </si>
  <si>
    <r>
      <rPr>
        <b/>
        <sz val="14"/>
        <color theme="1"/>
        <rFont val="Times New Roman"/>
        <family val="1"/>
      </rPr>
      <t xml:space="preserve">Narrative: </t>
    </r>
    <r>
      <rPr>
        <sz val="14"/>
        <color theme="1"/>
        <rFont val="Times New Roman"/>
        <family val="1"/>
      </rPr>
      <t>In the box below, please provide a narrative description of any institutional policies about faculty workload requirements that cannot be captured through the data points above.  This may include information regarding instruction vs. research time or undergraduate/graduate differences.  Please also use this space to explain any changes or trends in the data above.</t>
    </r>
  </si>
  <si>
    <t>Auxiliary and Other PPV Reserve Balances</t>
  </si>
  <si>
    <t>Reserve Balance</t>
  </si>
  <si>
    <t>R&amp;R Balance Held with Trustee</t>
  </si>
  <si>
    <t xml:space="preserve">Fund </t>
  </si>
  <si>
    <t>How would you rate PPV performance - Good, Fair, Poor?</t>
  </si>
  <si>
    <t>Total Revenue</t>
  </si>
  <si>
    <t>Total Expenditures</t>
  </si>
  <si>
    <t xml:space="preserve"> </t>
  </si>
  <si>
    <t>Transfers</t>
  </si>
  <si>
    <r>
      <t>Reserve Balance (</t>
    </r>
    <r>
      <rPr>
        <i/>
        <sz val="14"/>
        <rFont val="Times New Roman"/>
        <family val="1"/>
      </rPr>
      <t>excluding depreciation</t>
    </r>
    <r>
      <rPr>
        <b/>
        <sz val="14"/>
        <rFont val="Times New Roman"/>
        <family val="1"/>
      </rPr>
      <t>)</t>
    </r>
  </si>
  <si>
    <t>Housing</t>
  </si>
  <si>
    <t>Health Services</t>
  </si>
  <si>
    <t>Parking/Transportation</t>
  </si>
  <si>
    <t>Section I: Information for Auxiliary Enterprises - For The Period Ended June 30, 2015</t>
  </si>
  <si>
    <t>Section II: Information PPVs By Project - For The Period Ended June 30, 2015</t>
  </si>
  <si>
    <t xml:space="preserve">Complete Section II  for all PPVs </t>
  </si>
  <si>
    <t xml:space="preserve">PPV Project </t>
  </si>
  <si>
    <t>Auxiliary Enterprise</t>
  </si>
  <si>
    <r>
      <t xml:space="preserve">Reductions of a permanent nature should be considered/implemented whenever possible.  Permanent reductions should be reported in subsequent years, while one-time actions should drop off.     </t>
    </r>
    <r>
      <rPr>
        <b/>
        <sz val="12"/>
        <color theme="1"/>
        <rFont val="Times New Roman"/>
        <family val="1"/>
      </rPr>
      <t>NOTE:</t>
    </r>
    <r>
      <rPr>
        <sz val="12"/>
        <color theme="1"/>
        <rFont val="Times New Roman"/>
        <family val="1"/>
      </rPr>
      <t xml:space="preserve">  The proposed reduction should equal the reduction target </t>
    </r>
    <r>
      <rPr>
        <u/>
        <sz val="12"/>
        <color theme="1"/>
        <rFont val="Times New Roman"/>
        <family val="1"/>
      </rPr>
      <t>each</t>
    </r>
    <r>
      <rPr>
        <sz val="12"/>
        <color theme="1"/>
        <rFont val="Times New Roman"/>
        <family val="1"/>
      </rPr>
      <t xml:space="preserve"> year.  </t>
    </r>
  </si>
  <si>
    <t>Transfers  -      In (Out)</t>
  </si>
  <si>
    <t xml:space="preserve">Your institution is not required to respond to this question. </t>
  </si>
  <si>
    <t>University of West Georgia</t>
  </si>
  <si>
    <t xml:space="preserve">Complete Section I for All Auxiliary Enterprises including PPV activity.  </t>
  </si>
  <si>
    <t>Fall 2011</t>
  </si>
  <si>
    <t>Fall 2014*</t>
  </si>
  <si>
    <t>Fall 2006</t>
  </si>
  <si>
    <t>Fall 2007</t>
  </si>
  <si>
    <t>Fall 2008</t>
  </si>
  <si>
    <t>Fall 2009</t>
  </si>
  <si>
    <t>Distance/eCore</t>
  </si>
  <si>
    <t>Carrollton</t>
  </si>
  <si>
    <t>Newnan</t>
  </si>
  <si>
    <t>Other</t>
  </si>
  <si>
    <t>(ATL Area/Study Abroad)</t>
  </si>
  <si>
    <t>4/4</t>
  </si>
  <si>
    <t>Lecturer</t>
  </si>
  <si>
    <t>Instructor/Core Classe</t>
  </si>
  <si>
    <t>5/4</t>
  </si>
  <si>
    <t>Faculty are expected to teach four 3-hour courses or the equivalent per semester, unless a portion of that time is reassigned for administrative, research, or other purposes approved by the Dean or a lesser load is required to maintain specialized accreditation.   Tenured and Tenure Track Faculty are given a 1-course release for research.  Department Chairs and Associate Deans teach 3 courses per year.  Faculty with Director titles and serving on Dissertation Committees receive a 1-course release per year.</t>
  </si>
  <si>
    <t>*  Please also report the 6/30/15 Net Assets - Unrestricted excluding the effects of GASB 68.</t>
  </si>
  <si>
    <t>6/30/2015*</t>
  </si>
  <si>
    <t>*  Please also report the 6/30/15 Financial Ratios excluding the effects of GASB 68.</t>
  </si>
  <si>
    <t>Food Service</t>
  </si>
  <si>
    <t>Bookstore</t>
  </si>
  <si>
    <t>Auxiliary Other</t>
  </si>
  <si>
    <t>Campus Center</t>
  </si>
  <si>
    <t>Other Student Activities</t>
  </si>
  <si>
    <t>Housing - Greek Village</t>
  </si>
  <si>
    <t>Housing - University Suites</t>
  </si>
  <si>
    <t>Housing - Arbor View</t>
  </si>
  <si>
    <t>Housing - Roberts Field</t>
  </si>
  <si>
    <t>Parking Lost</t>
  </si>
  <si>
    <t>Athletic Complex - Stadium/AOB</t>
  </si>
  <si>
    <t>Housing - East Village</t>
  </si>
  <si>
    <t>Dining Hall - East Village</t>
  </si>
  <si>
    <t>na</t>
  </si>
  <si>
    <t>34.0% (36.1% with Zell)</t>
  </si>
  <si>
    <t>35.2% (37.0% with Zell)</t>
  </si>
  <si>
    <t>Fair</t>
  </si>
  <si>
    <t>Good</t>
  </si>
  <si>
    <r>
      <t xml:space="preserve">Reserve Balance </t>
    </r>
    <r>
      <rPr>
        <b/>
        <sz val="12"/>
        <rFont val="Times New Roman"/>
        <family val="1"/>
      </rPr>
      <t>(</t>
    </r>
    <r>
      <rPr>
        <i/>
        <sz val="12"/>
        <rFont val="Times New Roman"/>
        <family val="1"/>
      </rPr>
      <t>excluding depreciation</t>
    </r>
    <r>
      <rPr>
        <b/>
        <sz val="12"/>
        <rFont val="Times New Roman"/>
        <family val="1"/>
      </rPr>
      <t>)</t>
    </r>
  </si>
  <si>
    <t xml:space="preserve">Fall 2015 </t>
  </si>
  <si>
    <t>FY 2016*</t>
  </si>
  <si>
    <t>1st Qtr. Budget*</t>
  </si>
  <si>
    <t>* 1st Quarter Budget amounts not adjusted for summer/fall 15 actuals.  Updates occur in October after census date</t>
  </si>
  <si>
    <t>The sum of the in-state and out-of-state tuition revenue must agree to the total tuition revenue reported on row 38.                                                                                                                                                             * 1st Quarter Budget amounts not adjusted for summer/fall 15 actuals.  Updates occur in October after census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</si>
</sst>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_);_(* \(#,##0.00\);_(* &quot;-&quot;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i/>
      <sz val="12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name val="Times New Roman"/>
      <family val="1"/>
    </font>
    <font>
      <i/>
      <u/>
      <sz val="9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5"/>
      <color theme="0"/>
      <name val="Times New Roman"/>
      <family val="1"/>
    </font>
    <font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u/>
      <sz val="12"/>
      <color theme="1"/>
      <name val="Times New Roman"/>
      <family val="1"/>
    </font>
    <font>
      <sz val="16"/>
      <color rgb="FFFF0000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u/>
      <sz val="18"/>
      <color rgb="FFFF0000"/>
      <name val="Times New Roman"/>
      <family val="1"/>
    </font>
    <font>
      <b/>
      <i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.5"/>
      <color theme="1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i/>
      <sz val="12"/>
      <name val="Times New Roman"/>
      <family val="1"/>
    </font>
    <font>
      <b/>
      <sz val="14"/>
      <color rgb="FF0416C6"/>
      <name val="Times New Roman"/>
      <family val="1"/>
    </font>
    <font>
      <sz val="11.5"/>
      <name val="Times New Roman"/>
      <family val="1"/>
    </font>
    <font>
      <b/>
      <sz val="11.5"/>
      <name val="Times New Roman"/>
      <family val="1"/>
    </font>
    <font>
      <i/>
      <sz val="10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mediumGray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7" fillId="0" borderId="0"/>
  </cellStyleXfs>
  <cellXfs count="22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0" xfId="0" applyFont="1"/>
    <xf numFmtId="0" fontId="10" fillId="0" borderId="0" xfId="0" applyFont="1"/>
    <xf numFmtId="14" fontId="5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/>
    <xf numFmtId="164" fontId="6" fillId="0" borderId="1" xfId="1" applyNumberFormat="1" applyFont="1" applyBorder="1" applyAlignment="1">
      <alignment horizontal="justify" vertical="center" wrapText="1"/>
    </xf>
    <xf numFmtId="164" fontId="7" fillId="0" borderId="0" xfId="1" applyNumberFormat="1" applyFont="1"/>
    <xf numFmtId="0" fontId="7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164" fontId="6" fillId="4" borderId="1" xfId="1" applyNumberFormat="1" applyFont="1" applyFill="1" applyBorder="1" applyAlignment="1">
      <alignment horizontal="justify" vertical="center" wrapText="1"/>
    </xf>
    <xf numFmtId="0" fontId="17" fillId="0" borderId="0" xfId="0" applyFont="1"/>
    <xf numFmtId="0" fontId="18" fillId="3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wrapText="1"/>
    </xf>
    <xf numFmtId="0" fontId="20" fillId="0" borderId="0" xfId="0" applyFont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9" fillId="2" borderId="4" xfId="0" applyFont="1" applyFill="1" applyBorder="1"/>
    <xf numFmtId="0" fontId="9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5" xfId="0" applyFont="1" applyBorder="1"/>
    <xf numFmtId="0" fontId="8" fillId="0" borderId="0" xfId="0" applyFont="1"/>
    <xf numFmtId="0" fontId="5" fillId="0" borderId="0" xfId="0" applyFont="1" applyBorder="1" applyAlignment="1">
      <alignment horizontal="left" vertical="center" wrapText="1"/>
    </xf>
    <xf numFmtId="164" fontId="6" fillId="0" borderId="0" xfId="1" applyNumberFormat="1" applyFont="1" applyBorder="1" applyAlignment="1">
      <alignment horizontal="justify" vertical="center" wrapText="1"/>
    </xf>
    <xf numFmtId="164" fontId="6" fillId="0" borderId="0" xfId="1" applyNumberFormat="1" applyFont="1" applyBorder="1" applyAlignment="1">
      <alignment horizontal="center" vertical="center" wrapText="1"/>
    </xf>
    <xf numFmtId="0" fontId="22" fillId="0" borderId="1" xfId="0" applyFont="1" applyBorder="1"/>
    <xf numFmtId="165" fontId="22" fillId="0" borderId="1" xfId="10" applyNumberFormat="1" applyFont="1" applyBorder="1"/>
    <xf numFmtId="0" fontId="5" fillId="0" borderId="1" xfId="0" applyFont="1" applyBorder="1" applyAlignment="1">
      <alignment horizontal="justify" vertical="center" wrapText="1"/>
    </xf>
    <xf numFmtId="0" fontId="8" fillId="0" borderId="0" xfId="0" applyFont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165" fontId="22" fillId="0" borderId="0" xfId="10" applyNumberFormat="1" applyFont="1" applyBorder="1"/>
    <xf numFmtId="0" fontId="24" fillId="6" borderId="5" xfId="0" applyFont="1" applyFill="1" applyBorder="1"/>
    <xf numFmtId="0" fontId="23" fillId="6" borderId="5" xfId="0" applyFont="1" applyFill="1" applyBorder="1"/>
    <xf numFmtId="165" fontId="6" fillId="0" borderId="1" xfId="10" applyNumberFormat="1" applyFont="1" applyBorder="1" applyAlignment="1">
      <alignment horizontal="justify" vertical="center" wrapText="1"/>
    </xf>
    <xf numFmtId="165" fontId="6" fillId="0" borderId="1" xfId="10" applyNumberFormat="1" applyFont="1" applyBorder="1" applyAlignment="1">
      <alignment horizontal="left" vertical="center" wrapText="1"/>
    </xf>
    <xf numFmtId="0" fontId="12" fillId="0" borderId="1" xfId="0" applyFont="1" applyBorder="1"/>
    <xf numFmtId="0" fontId="2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22" fillId="0" borderId="12" xfId="0" applyFont="1" applyBorder="1"/>
    <xf numFmtId="10" fontId="6" fillId="0" borderId="0" xfId="9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44" fontId="10" fillId="0" borderId="1" xfId="1" applyFont="1" applyBorder="1"/>
    <xf numFmtId="44" fontId="10" fillId="0" borderId="10" xfId="1" applyFont="1" applyBorder="1"/>
    <xf numFmtId="0" fontId="9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0" fillId="2" borderId="4" xfId="0" applyFont="1" applyFill="1" applyBorder="1"/>
    <xf numFmtId="44" fontId="10" fillId="2" borderId="2" xfId="0" applyNumberFormat="1" applyFont="1" applyFill="1" applyBorder="1"/>
    <xf numFmtId="0" fontId="19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1" fillId="5" borderId="12" xfId="0" applyFont="1" applyFill="1" applyBorder="1" applyAlignment="1">
      <alignment horizontal="center"/>
    </xf>
    <xf numFmtId="0" fontId="21" fillId="5" borderId="0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7" fillId="0" borderId="1" xfId="0" applyFont="1" applyBorder="1" applyAlignment="1">
      <alignment horizontal="left" indent="1"/>
    </xf>
    <xf numFmtId="164" fontId="6" fillId="0" borderId="1" xfId="1" applyNumberFormat="1" applyFont="1" applyFill="1" applyBorder="1" applyAlignment="1">
      <alignment horizontal="justify" vertical="center" wrapText="1"/>
    </xf>
    <xf numFmtId="0" fontId="6" fillId="0" borderId="0" xfId="9" applyNumberFormat="1" applyFont="1" applyBorder="1" applyAlignment="1">
      <alignment horizontal="center" vertical="center" wrapText="1"/>
    </xf>
    <xf numFmtId="0" fontId="22" fillId="0" borderId="12" xfId="0" applyFont="1" applyFill="1" applyBorder="1"/>
    <xf numFmtId="165" fontId="22" fillId="0" borderId="0" xfId="10" applyNumberFormat="1" applyFont="1" applyFill="1" applyBorder="1" applyAlignment="1">
      <alignment horizontal="center"/>
    </xf>
    <xf numFmtId="0" fontId="7" fillId="0" borderId="0" xfId="0" applyFont="1" applyFill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0" applyFont="1" applyBorder="1"/>
    <xf numFmtId="0" fontId="19" fillId="0" borderId="1" xfId="0" applyFont="1" applyBorder="1" applyAlignment="1">
      <alignment horizontal="center" wrapText="1"/>
    </xf>
    <xf numFmtId="0" fontId="32" fillId="0" borderId="0" xfId="0" applyFont="1" applyAlignment="1">
      <alignment horizontal="justify" vertical="center"/>
    </xf>
    <xf numFmtId="49" fontId="9" fillId="0" borderId="5" xfId="0" applyNumberFormat="1" applyFont="1" applyFill="1" applyBorder="1" applyAlignment="1">
      <alignment horizontal="left"/>
    </xf>
    <xf numFmtId="0" fontId="9" fillId="0" borderId="5" xfId="0" applyNumberFormat="1" applyFont="1" applyFill="1" applyBorder="1" applyAlignment="1">
      <alignment horizontal="center"/>
    </xf>
    <xf numFmtId="164" fontId="6" fillId="4" borderId="6" xfId="1" applyNumberFormat="1" applyFont="1" applyFill="1" applyBorder="1" applyAlignment="1">
      <alignment horizontal="justify" vertical="center" wrapText="1"/>
    </xf>
    <xf numFmtId="0" fontId="33" fillId="0" borderId="0" xfId="0" applyFont="1" applyBorder="1" applyAlignment="1">
      <alignment vertical="center"/>
    </xf>
    <xf numFmtId="0" fontId="19" fillId="8" borderId="1" xfId="0" applyFont="1" applyFill="1" applyBorder="1" applyAlignment="1">
      <alignment horizontal="center" wrapText="1"/>
    </xf>
    <xf numFmtId="0" fontId="19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/>
    <xf numFmtId="0" fontId="19" fillId="8" borderId="6" xfId="0" applyFont="1" applyFill="1" applyBorder="1" applyAlignment="1">
      <alignment horizontal="center" vertical="center" wrapText="1"/>
    </xf>
    <xf numFmtId="0" fontId="10" fillId="8" borderId="6" xfId="0" applyFont="1" applyFill="1" applyBorder="1"/>
    <xf numFmtId="166" fontId="35" fillId="0" borderId="1" xfId="0" applyNumberFormat="1" applyFont="1" applyFill="1" applyBorder="1"/>
    <xf numFmtId="0" fontId="30" fillId="0" borderId="1" xfId="0" applyFont="1" applyBorder="1" applyAlignment="1">
      <alignment horizontal="left" vertical="center" wrapText="1"/>
    </xf>
    <xf numFmtId="165" fontId="6" fillId="0" borderId="1" xfId="10" applyNumberFormat="1" applyFont="1" applyFill="1" applyBorder="1" applyAlignment="1">
      <alignment horizontal="center" vertical="center" wrapText="1"/>
    </xf>
    <xf numFmtId="165" fontId="6" fillId="0" borderId="1" xfId="10" applyNumberFormat="1" applyFont="1" applyFill="1" applyBorder="1" applyAlignment="1">
      <alignment horizontal="left" vertical="center" wrapText="1"/>
    </xf>
    <xf numFmtId="165" fontId="6" fillId="0" borderId="1" xfId="10" applyNumberFormat="1" applyFont="1" applyFill="1" applyBorder="1" applyAlignment="1">
      <alignment horizontal="justify" vertical="center" wrapText="1"/>
    </xf>
    <xf numFmtId="9" fontId="10" fillId="0" borderId="0" xfId="9" applyFont="1"/>
    <xf numFmtId="165" fontId="10" fillId="0" borderId="0" xfId="0" applyNumberFormat="1" applyFont="1"/>
    <xf numFmtId="4" fontId="3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" fontId="10" fillId="0" borderId="1" xfId="0" quotePrefix="1" applyNumberFormat="1" applyFont="1" applyBorder="1"/>
    <xf numFmtId="0" fontId="10" fillId="0" borderId="1" xfId="0" quotePrefix="1" applyFont="1" applyBorder="1"/>
    <xf numFmtId="3" fontId="34" fillId="0" borderId="1" xfId="0" applyNumberFormat="1" applyFont="1" applyBorder="1" applyAlignment="1">
      <alignment vertical="center"/>
    </xf>
    <xf numFmtId="165" fontId="6" fillId="0" borderId="1" xfId="10" applyNumberFormat="1" applyFont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9" fontId="6" fillId="0" borderId="1" xfId="9" applyNumberFormat="1" applyFont="1" applyBorder="1" applyAlignment="1">
      <alignment horizontal="center" vertical="center" wrapText="1"/>
    </xf>
    <xf numFmtId="43" fontId="6" fillId="0" borderId="1" xfId="9" applyNumberFormat="1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wrapText="1"/>
    </xf>
    <xf numFmtId="0" fontId="22" fillId="0" borderId="1" xfId="0" applyFont="1" applyBorder="1" applyAlignment="1">
      <alignment horizontal="right"/>
    </xf>
    <xf numFmtId="0" fontId="6" fillId="0" borderId="1" xfId="0" applyFont="1" applyBorder="1" applyAlignment="1">
      <alignment vertical="center" wrapText="1"/>
    </xf>
    <xf numFmtId="0" fontId="22" fillId="0" borderId="1" xfId="0" applyFont="1" applyBorder="1" applyAlignment="1"/>
    <xf numFmtId="10" fontId="7" fillId="0" borderId="1" xfId="0" applyNumberFormat="1" applyFont="1" applyFill="1" applyBorder="1" applyAlignment="1">
      <alignment horizontal="center" wrapText="1"/>
    </xf>
    <xf numFmtId="165" fontId="22" fillId="0" borderId="1" xfId="6" applyNumberFormat="1" applyFont="1" applyBorder="1"/>
    <xf numFmtId="165" fontId="12" fillId="0" borderId="10" xfId="10" applyNumberFormat="1" applyFont="1" applyBorder="1"/>
    <xf numFmtId="165" fontId="22" fillId="0" borderId="16" xfId="6" applyNumberFormat="1" applyFont="1" applyBorder="1"/>
    <xf numFmtId="165" fontId="22" fillId="0" borderId="16" xfId="10" applyNumberFormat="1" applyFont="1" applyBorder="1"/>
    <xf numFmtId="42" fontId="6" fillId="0" borderId="1" xfId="0" applyNumberFormat="1" applyFont="1" applyBorder="1"/>
    <xf numFmtId="42" fontId="6" fillId="0" borderId="1" xfId="1" applyNumberFormat="1" applyFont="1" applyBorder="1"/>
    <xf numFmtId="0" fontId="16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justify" vertical="center" wrapText="1"/>
    </xf>
    <xf numFmtId="0" fontId="20" fillId="0" borderId="1" xfId="0" applyFont="1" applyBorder="1"/>
    <xf numFmtId="38" fontId="6" fillId="0" borderId="1" xfId="0" applyNumberFormat="1" applyFont="1" applyBorder="1"/>
    <xf numFmtId="38" fontId="6" fillId="0" borderId="1" xfId="1" applyNumberFormat="1" applyFont="1" applyBorder="1"/>
    <xf numFmtId="42" fontId="6" fillId="0" borderId="1" xfId="1" applyNumberFormat="1" applyFont="1" applyBorder="1" applyAlignment="1">
      <alignment horizontal="right" vertical="center" wrapText="1"/>
    </xf>
    <xf numFmtId="42" fontId="6" fillId="0" borderId="1" xfId="1" applyNumberFormat="1" applyFont="1" applyFill="1" applyBorder="1" applyAlignment="1">
      <alignment horizontal="right" vertical="center" wrapText="1"/>
    </xf>
    <xf numFmtId="37" fontId="6" fillId="0" borderId="1" xfId="1" applyNumberFormat="1" applyFont="1" applyBorder="1" applyAlignment="1">
      <alignment horizontal="right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justify" vertical="center" wrapText="1"/>
    </xf>
    <xf numFmtId="164" fontId="6" fillId="11" borderId="1" xfId="1" applyNumberFormat="1" applyFont="1" applyFill="1" applyBorder="1" applyAlignment="1">
      <alignment horizontal="justify" vertical="center" wrapText="1"/>
    </xf>
    <xf numFmtId="42" fontId="22" fillId="9" borderId="1" xfId="0" applyNumberFormat="1" applyFont="1" applyFill="1" applyBorder="1"/>
    <xf numFmtId="42" fontId="22" fillId="0" borderId="1" xfId="0" applyNumberFormat="1" applyFont="1" applyBorder="1"/>
    <xf numFmtId="42" fontId="6" fillId="9" borderId="1" xfId="0" applyNumberFormat="1" applyFont="1" applyFill="1" applyBorder="1" applyAlignment="1">
      <alignment horizontal="right" wrapText="1"/>
    </xf>
    <xf numFmtId="42" fontId="6" fillId="0" borderId="1" xfId="0" applyNumberFormat="1" applyFont="1" applyBorder="1" applyAlignment="1">
      <alignment horizontal="right" wrapText="1"/>
    </xf>
    <xf numFmtId="42" fontId="22" fillId="9" borderId="1" xfId="0" applyNumberFormat="1" applyFont="1" applyFill="1" applyBorder="1" applyAlignment="1">
      <alignment horizontal="right"/>
    </xf>
    <xf numFmtId="42" fontId="22" fillId="0" borderId="1" xfId="0" applyNumberFormat="1" applyFont="1" applyBorder="1" applyAlignment="1">
      <alignment horizontal="right"/>
    </xf>
    <xf numFmtId="0" fontId="7" fillId="0" borderId="0" xfId="0" applyFont="1" applyBorder="1"/>
    <xf numFmtId="0" fontId="5" fillId="0" borderId="12" xfId="0" applyFont="1" applyBorder="1" applyAlignment="1">
      <alignment horizontal="left" vertical="center" wrapText="1"/>
    </xf>
    <xf numFmtId="0" fontId="7" fillId="0" borderId="11" xfId="0" applyFont="1" applyBorder="1"/>
    <xf numFmtId="0" fontId="7" fillId="0" borderId="14" xfId="0" applyFont="1" applyBorder="1"/>
    <xf numFmtId="0" fontId="14" fillId="0" borderId="12" xfId="0" applyFont="1" applyBorder="1" applyAlignment="1">
      <alignment horizontal="center" vertical="center" wrapText="1"/>
    </xf>
    <xf numFmtId="0" fontId="20" fillId="0" borderId="17" xfId="0" applyFont="1" applyBorder="1"/>
    <xf numFmtId="164" fontId="5" fillId="0" borderId="10" xfId="1" applyNumberFormat="1" applyFont="1" applyBorder="1" applyAlignment="1">
      <alignment horizontal="justify" vertical="center" wrapText="1"/>
    </xf>
    <xf numFmtId="37" fontId="6" fillId="0" borderId="16" xfId="1" applyNumberFormat="1" applyFont="1" applyBorder="1" applyAlignment="1">
      <alignment horizontal="right" vertical="center" wrapText="1"/>
    </xf>
    <xf numFmtId="42" fontId="8" fillId="0" borderId="10" xfId="0" applyNumberFormat="1" applyFont="1" applyBorder="1"/>
    <xf numFmtId="38" fontId="6" fillId="0" borderId="16" xfId="0" applyNumberFormat="1" applyFont="1" applyBorder="1"/>
    <xf numFmtId="38" fontId="6" fillId="0" borderId="16" xfId="1" applyNumberFormat="1" applyFont="1" applyBorder="1"/>
    <xf numFmtId="5" fontId="6" fillId="0" borderId="1" xfId="1" applyNumberFormat="1" applyFont="1" applyFill="1" applyBorder="1" applyAlignment="1">
      <alignment horizontal="center" vertical="center" wrapText="1"/>
    </xf>
    <xf numFmtId="165" fontId="6" fillId="0" borderId="1" xfId="10" applyNumberFormat="1" applyFont="1" applyBorder="1" applyAlignment="1">
      <alignment horizontal="left" wrapText="1"/>
    </xf>
    <xf numFmtId="165" fontId="6" fillId="0" borderId="1" xfId="10" applyNumberFormat="1" applyFont="1" applyFill="1" applyBorder="1" applyAlignment="1">
      <alignment horizontal="left" wrapText="1"/>
    </xf>
    <xf numFmtId="165" fontId="6" fillId="0" borderId="6" xfId="10" applyNumberFormat="1" applyFont="1" applyFill="1" applyBorder="1" applyAlignment="1">
      <alignment horizontal="left" wrapText="1"/>
    </xf>
    <xf numFmtId="6" fontId="6" fillId="0" borderId="1" xfId="1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10" fontId="40" fillId="0" borderId="1" xfId="9" applyNumberFormat="1" applyFont="1" applyBorder="1" applyAlignment="1">
      <alignment horizontal="center" vertical="center" wrapText="1"/>
    </xf>
    <xf numFmtId="164" fontId="6" fillId="0" borderId="1" xfId="1" applyNumberFormat="1" applyFont="1" applyBorder="1"/>
    <xf numFmtId="4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3" fontId="22" fillId="0" borderId="1" xfId="0" applyNumberFormat="1" applyFont="1" applyFill="1" applyBorder="1"/>
    <xf numFmtId="9" fontId="40" fillId="0" borderId="1" xfId="9" applyFont="1" applyBorder="1" applyAlignment="1">
      <alignment horizontal="center" vertical="center" wrapText="1"/>
    </xf>
    <xf numFmtId="9" fontId="40" fillId="0" borderId="1" xfId="9" applyFont="1" applyBorder="1" applyAlignment="1">
      <alignment vertical="center" wrapText="1"/>
    </xf>
    <xf numFmtId="10" fontId="35" fillId="0" borderId="1" xfId="9" applyNumberFormat="1" applyFont="1" applyBorder="1"/>
    <xf numFmtId="166" fontId="40" fillId="0" borderId="1" xfId="1" applyNumberFormat="1" applyFont="1" applyFill="1" applyBorder="1" applyAlignment="1">
      <alignment horizontal="center" vertical="center" wrapText="1"/>
    </xf>
    <xf numFmtId="9" fontId="40" fillId="0" borderId="1" xfId="9" applyNumberFormat="1" applyFont="1" applyBorder="1" applyAlignment="1">
      <alignment horizontal="center" vertical="center" wrapText="1"/>
    </xf>
    <xf numFmtId="167" fontId="6" fillId="0" borderId="1" xfId="9" applyNumberFormat="1" applyFont="1" applyBorder="1" applyAlignment="1">
      <alignment horizontal="center" vertical="center" wrapText="1"/>
    </xf>
    <xf numFmtId="10" fontId="40" fillId="0" borderId="1" xfId="0" applyNumberFormat="1" applyFont="1" applyBorder="1" applyAlignment="1">
      <alignment horizontal="right" vertical="center" wrapText="1"/>
    </xf>
    <xf numFmtId="10" fontId="40" fillId="0" borderId="1" xfId="1" applyNumberFormat="1" applyFont="1" applyBorder="1" applyAlignment="1">
      <alignment horizontal="right" vertical="center" wrapText="1"/>
    </xf>
    <xf numFmtId="10" fontId="40" fillId="0" borderId="16" xfId="9" applyNumberFormat="1" applyFont="1" applyBorder="1" applyAlignment="1">
      <alignment horizontal="center" vertical="center" wrapText="1"/>
    </xf>
    <xf numFmtId="10" fontId="41" fillId="0" borderId="10" xfId="9" applyNumberFormat="1" applyFont="1" applyBorder="1" applyAlignment="1">
      <alignment horizontal="center" vertical="center" wrapText="1"/>
    </xf>
    <xf numFmtId="10" fontId="35" fillId="0" borderId="1" xfId="0" applyNumberFormat="1" applyFont="1" applyFill="1" applyBorder="1"/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/>
    </xf>
    <xf numFmtId="0" fontId="21" fillId="5" borderId="0" xfId="0" applyFont="1" applyFill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/>
    </xf>
    <xf numFmtId="0" fontId="22" fillId="6" borderId="7" xfId="0" applyFont="1" applyFill="1" applyBorder="1" applyAlignment="1">
      <alignment horizontal="center"/>
    </xf>
    <xf numFmtId="0" fontId="22" fillId="6" borderId="8" xfId="0" applyFont="1" applyFill="1" applyBorder="1" applyAlignment="1">
      <alignment horizontal="center"/>
    </xf>
    <xf numFmtId="0" fontId="21" fillId="5" borderId="11" xfId="0" applyFont="1" applyFill="1" applyBorder="1" applyAlignment="1">
      <alignment horizontal="center"/>
    </xf>
    <xf numFmtId="0" fontId="21" fillId="5" borderId="5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42" fillId="0" borderId="6" xfId="0" applyFont="1" applyBorder="1"/>
    <xf numFmtId="0" fontId="42" fillId="0" borderId="7" xfId="0" applyFont="1" applyBorder="1"/>
    <xf numFmtId="0" fontId="42" fillId="0" borderId="8" xfId="0" applyFont="1" applyBorder="1"/>
    <xf numFmtId="165" fontId="12" fillId="7" borderId="1" xfId="10" applyNumberFormat="1" applyFont="1" applyFill="1" applyBorder="1" applyAlignment="1">
      <alignment horizontal="center"/>
    </xf>
    <xf numFmtId="0" fontId="23" fillId="0" borderId="6" xfId="0" applyFont="1" applyBorder="1" applyAlignment="1">
      <alignment horizontal="center" wrapText="1"/>
    </xf>
    <xf numFmtId="0" fontId="23" fillId="0" borderId="7" xfId="0" applyFont="1" applyBorder="1" applyAlignment="1">
      <alignment horizontal="center" wrapText="1"/>
    </xf>
    <xf numFmtId="0" fontId="23" fillId="0" borderId="8" xfId="0" applyFont="1" applyBorder="1" applyAlignment="1">
      <alignment horizontal="center" wrapText="1"/>
    </xf>
    <xf numFmtId="0" fontId="27" fillId="0" borderId="9" xfId="0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14" fillId="0" borderId="6" xfId="0" quotePrefix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49" fontId="39" fillId="0" borderId="5" xfId="0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center" vertical="center" wrapText="1"/>
    </xf>
    <xf numFmtId="164" fontId="6" fillId="0" borderId="8" xfId="1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36" fillId="0" borderId="15" xfId="0" applyFont="1" applyBorder="1" applyAlignment="1">
      <alignment horizontal="left" vertical="top"/>
    </xf>
    <xf numFmtId="0" fontId="16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top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wrapText="1"/>
    </xf>
    <xf numFmtId="0" fontId="19" fillId="3" borderId="7" xfId="0" applyFont="1" applyFill="1" applyBorder="1" applyAlignment="1">
      <alignment horizontal="center" wrapText="1"/>
    </xf>
    <xf numFmtId="0" fontId="19" fillId="3" borderId="8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22" fillId="0" borderId="6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</cellXfs>
  <cellStyles count="12">
    <cellStyle name="Comma" xfId="10" builtinId="3"/>
    <cellStyle name="Comma 2" xfId="6"/>
    <cellStyle name="Currency" xfId="1" builtinId="4"/>
    <cellStyle name="Currency 10" xfId="7"/>
    <cellStyle name="Currency 2" xfId="2"/>
    <cellStyle name="Currency 2 2" xfId="5"/>
    <cellStyle name="Currency 27" xfId="8"/>
    <cellStyle name="Normal" xfId="0" builtinId="0"/>
    <cellStyle name="Normal 2" xfId="3"/>
    <cellStyle name="Normal 3" xfId="4"/>
    <cellStyle name="Normal 4" xfId="11"/>
    <cellStyle name="Percent" xfId="9" builtinId="5"/>
  </cellStyles>
  <dxfs count="0"/>
  <tableStyles count="0" defaultTableStyle="TableStyleMedium2" defaultPivotStyle="PivotStyleLight16"/>
  <colors>
    <mruColors>
      <color rgb="FFFFFFCC"/>
      <color rgb="FF0416C6"/>
      <color rgb="FFB01C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29"/>
  <sheetViews>
    <sheetView tabSelected="1" topLeftCell="A19" zoomScaleNormal="100" workbookViewId="0">
      <selection activeCell="E38" sqref="E38"/>
    </sheetView>
  </sheetViews>
  <sheetFormatPr defaultColWidth="8.85546875" defaultRowHeight="15" x14ac:dyDescent="0.25"/>
  <cols>
    <col min="1" max="1" width="40.5703125" style="3" customWidth="1"/>
    <col min="2" max="5" width="16" style="3" customWidth="1"/>
    <col min="6" max="6" width="16.28515625" style="3" customWidth="1"/>
    <col min="7" max="7" width="16" style="3" customWidth="1"/>
    <col min="8" max="10" width="8.85546875" style="3"/>
    <col min="11" max="11" width="12.7109375" style="3" bestFit="1" customWidth="1"/>
    <col min="12" max="12" width="13" style="3" customWidth="1"/>
    <col min="13" max="16384" width="8.85546875" style="3"/>
  </cols>
  <sheetData>
    <row r="1" spans="1:13" s="24" customFormat="1" ht="20.25" x14ac:dyDescent="0.25">
      <c r="A1" s="198" t="s">
        <v>93</v>
      </c>
      <c r="B1" s="198"/>
      <c r="C1" s="198"/>
      <c r="D1" s="198"/>
      <c r="E1" s="198"/>
      <c r="F1" s="198"/>
      <c r="G1" s="198"/>
    </row>
    <row r="2" spans="1:13" s="6" customFormat="1" ht="7.9" customHeight="1" x14ac:dyDescent="0.25"/>
    <row r="3" spans="1:13" s="7" customFormat="1" ht="18.75" x14ac:dyDescent="0.3">
      <c r="A3" s="7" t="s">
        <v>19</v>
      </c>
      <c r="B3" s="199" t="s">
        <v>168</v>
      </c>
      <c r="C3" s="199"/>
      <c r="D3" s="199"/>
      <c r="F3" s="4"/>
    </row>
    <row r="4" spans="1:13" s="7" customFormat="1" ht="12" customHeight="1" x14ac:dyDescent="0.3">
      <c r="B4" s="45"/>
      <c r="C4" s="45"/>
      <c r="D4" s="45"/>
    </row>
    <row r="5" spans="1:13" s="4" customFormat="1" ht="19.5" x14ac:dyDescent="0.3">
      <c r="A5" s="183" t="s">
        <v>7</v>
      </c>
      <c r="B5" s="184"/>
      <c r="C5" s="184"/>
      <c r="D5" s="184"/>
      <c r="E5" s="184"/>
      <c r="F5" s="184"/>
      <c r="G5" s="184"/>
    </row>
    <row r="6" spans="1:13" s="4" customFormat="1" ht="31.5" x14ac:dyDescent="0.3">
      <c r="A6" s="1"/>
      <c r="B6" s="1" t="s">
        <v>4</v>
      </c>
      <c r="C6" s="1" t="s">
        <v>5</v>
      </c>
      <c r="D6" s="1" t="s">
        <v>47</v>
      </c>
      <c r="E6" s="1" t="s">
        <v>208</v>
      </c>
      <c r="F6" s="1" t="s">
        <v>55</v>
      </c>
      <c r="G6" s="1" t="s">
        <v>92</v>
      </c>
    </row>
    <row r="7" spans="1:13" s="4" customFormat="1" ht="16.899999999999999" customHeight="1" x14ac:dyDescent="0.3">
      <c r="A7" s="11" t="s">
        <v>2</v>
      </c>
      <c r="B7" s="40">
        <v>11769</v>
      </c>
      <c r="C7" s="40">
        <v>11929</v>
      </c>
      <c r="D7" s="40">
        <v>12206</v>
      </c>
      <c r="E7" s="40">
        <v>12834</v>
      </c>
      <c r="F7" s="40">
        <v>13382</v>
      </c>
      <c r="G7" s="40">
        <v>13835</v>
      </c>
      <c r="J7" s="92"/>
      <c r="K7" s="92"/>
      <c r="L7" s="92"/>
      <c r="M7" s="92"/>
    </row>
    <row r="8" spans="1:13" s="4" customFormat="1" ht="16.899999999999999" customHeight="1" x14ac:dyDescent="0.3">
      <c r="A8" s="43" t="s">
        <v>56</v>
      </c>
      <c r="B8" s="11"/>
      <c r="C8" s="157">
        <f>+(C7-B7)/B7</f>
        <v>1.3595037811198913E-2</v>
      </c>
      <c r="D8" s="157">
        <f>+(D7-C7)/C7</f>
        <v>2.3220722608768549E-2</v>
      </c>
      <c r="E8" s="157">
        <f>+(E7-D7)/D7</f>
        <v>5.1450106504997539E-2</v>
      </c>
      <c r="F8" s="158">
        <f>+(F7-E7)/E7</f>
        <v>4.269908056724326E-2</v>
      </c>
      <c r="G8" s="158">
        <f>+(G7-F7)/F7</f>
        <v>3.3851442235839184E-2</v>
      </c>
    </row>
    <row r="9" spans="1:13" s="4" customFormat="1" ht="16.899999999999999" customHeight="1" x14ac:dyDescent="0.3">
      <c r="A9" s="11" t="s">
        <v>3</v>
      </c>
      <c r="B9" s="90">
        <v>10638</v>
      </c>
      <c r="C9" s="91">
        <v>10845</v>
      </c>
      <c r="D9" s="91">
        <v>11077</v>
      </c>
      <c r="E9" s="91">
        <v>11529</v>
      </c>
      <c r="F9" s="91">
        <v>12044</v>
      </c>
      <c r="G9" s="91">
        <v>12452</v>
      </c>
      <c r="K9" s="93"/>
      <c r="L9" s="93"/>
    </row>
    <row r="10" spans="1:13" s="4" customFormat="1" ht="16.899999999999999" customHeight="1" x14ac:dyDescent="0.3">
      <c r="A10" s="44" t="s">
        <v>6</v>
      </c>
      <c r="B10" s="11"/>
      <c r="C10" s="157">
        <f>+(C9-B9)/B9</f>
        <v>1.94585448392555E-2</v>
      </c>
      <c r="D10" s="157">
        <f>+(D9-C9)/C9</f>
        <v>2.1392346703550023E-2</v>
      </c>
      <c r="E10" s="157">
        <f>+(E9-D9)/D9</f>
        <v>4.0805272185609823E-2</v>
      </c>
      <c r="F10" s="158">
        <f>+(F9-E9)/E9</f>
        <v>4.4669962702749588E-2</v>
      </c>
      <c r="G10" s="158">
        <f>+(G9-F9)/F9</f>
        <v>3.3875788774493522E-2</v>
      </c>
    </row>
    <row r="11" spans="1:13" s="4" customFormat="1" ht="16.899999999999999" customHeight="1" x14ac:dyDescent="0.3">
      <c r="A11" s="11" t="s">
        <v>21</v>
      </c>
      <c r="B11" s="146">
        <f>+B37/B9</f>
        <v>3990.8875728520397</v>
      </c>
      <c r="C11" s="146">
        <f>+C37/C9</f>
        <v>4030.3252189949285</v>
      </c>
      <c r="D11" s="146">
        <f>+D37/D9</f>
        <v>4301.8786675092533</v>
      </c>
      <c r="E11" s="146">
        <f>+E37/E9</f>
        <v>4330.214415820973</v>
      </c>
      <c r="F11" s="13"/>
      <c r="G11" s="13"/>
    </row>
    <row r="12" spans="1:13" s="4" customFormat="1" ht="9" customHeight="1" x14ac:dyDescent="0.3">
      <c r="A12" s="136"/>
      <c r="B12" s="29"/>
      <c r="C12" s="30"/>
      <c r="D12" s="31"/>
      <c r="E12" s="31"/>
      <c r="F12" s="200"/>
      <c r="G12" s="201"/>
    </row>
    <row r="13" spans="1:13" s="4" customFormat="1" ht="16.899999999999999" customHeight="1" x14ac:dyDescent="0.3">
      <c r="A13" s="11" t="s">
        <v>50</v>
      </c>
      <c r="B13" s="41">
        <v>9963</v>
      </c>
      <c r="C13" s="41">
        <v>9959</v>
      </c>
      <c r="D13" s="41">
        <v>10249</v>
      </c>
      <c r="E13" s="98">
        <v>10753</v>
      </c>
      <c r="F13" s="98">
        <v>11257</v>
      </c>
      <c r="G13" s="98">
        <v>11668</v>
      </c>
    </row>
    <row r="14" spans="1:13" s="4" customFormat="1" ht="16.899999999999999" customHeight="1" x14ac:dyDescent="0.3">
      <c r="A14" s="11" t="s">
        <v>48</v>
      </c>
      <c r="B14" s="41">
        <v>1806</v>
      </c>
      <c r="C14" s="41">
        <v>1970</v>
      </c>
      <c r="D14" s="41">
        <v>1957</v>
      </c>
      <c r="E14" s="98">
        <v>2081</v>
      </c>
      <c r="F14" s="98">
        <v>2125</v>
      </c>
      <c r="G14" s="98">
        <v>2167</v>
      </c>
    </row>
    <row r="15" spans="1:13" s="4" customFormat="1" ht="16.149999999999999" customHeight="1" x14ac:dyDescent="0.3">
      <c r="A15" s="168" t="s">
        <v>49</v>
      </c>
      <c r="B15" s="169"/>
      <c r="C15" s="169"/>
      <c r="D15" s="169"/>
      <c r="E15" s="202"/>
      <c r="F15" s="202"/>
      <c r="G15" s="203"/>
    </row>
    <row r="16" spans="1:13" s="4" customFormat="1" ht="16.899999999999999" customHeight="1" x14ac:dyDescent="0.3">
      <c r="A16" s="11" t="s">
        <v>98</v>
      </c>
      <c r="B16" s="147">
        <v>1952</v>
      </c>
      <c r="C16" s="147">
        <v>2120</v>
      </c>
      <c r="D16" s="147">
        <v>2091</v>
      </c>
      <c r="E16" s="147">
        <v>2273</v>
      </c>
      <c r="F16" s="147">
        <v>2316</v>
      </c>
      <c r="G16" s="147">
        <v>2382</v>
      </c>
    </row>
    <row r="17" spans="1:12" s="4" customFormat="1" ht="16.899999999999999" customHeight="1" x14ac:dyDescent="0.3">
      <c r="A17" s="11" t="s">
        <v>114</v>
      </c>
      <c r="B17" s="148">
        <v>386</v>
      </c>
      <c r="C17" s="148">
        <v>436</v>
      </c>
      <c r="D17" s="148">
        <v>492</v>
      </c>
      <c r="E17" s="148">
        <v>449</v>
      </c>
      <c r="F17" s="148">
        <v>475</v>
      </c>
      <c r="G17" s="148">
        <v>500</v>
      </c>
      <c r="I17" s="92"/>
      <c r="J17" s="92"/>
      <c r="K17" s="92"/>
      <c r="L17" s="92">
        <f t="shared" ref="L17" si="0">SUM(E20/E7)</f>
        <v>0.1549010441016051</v>
      </c>
    </row>
    <row r="18" spans="1:12" s="4" customFormat="1" ht="16.899999999999999" customHeight="1" x14ac:dyDescent="0.3">
      <c r="A18" s="11" t="s">
        <v>115</v>
      </c>
      <c r="B18" s="148">
        <v>179</v>
      </c>
      <c r="C18" s="148">
        <v>161</v>
      </c>
      <c r="D18" s="148">
        <v>172</v>
      </c>
      <c r="E18" s="148">
        <v>193</v>
      </c>
      <c r="F18" s="148">
        <v>205</v>
      </c>
      <c r="G18" s="148">
        <v>215</v>
      </c>
      <c r="I18" s="92"/>
      <c r="J18" s="92"/>
      <c r="K18" s="92"/>
      <c r="L18" s="92">
        <f t="shared" ref="L18" si="1">SUM(E21/E7)</f>
        <v>0.31112669471715754</v>
      </c>
    </row>
    <row r="19" spans="1:12" s="4" customFormat="1" ht="16.899999999999999" customHeight="1" x14ac:dyDescent="0.3">
      <c r="A19" s="11" t="s">
        <v>106</v>
      </c>
      <c r="B19" s="147">
        <v>93</v>
      </c>
      <c r="C19" s="147">
        <v>107</v>
      </c>
      <c r="D19" s="147">
        <v>189</v>
      </c>
      <c r="E19" s="147">
        <v>365</v>
      </c>
      <c r="F19" s="147">
        <v>500</v>
      </c>
      <c r="G19" s="147">
        <v>600</v>
      </c>
    </row>
    <row r="20" spans="1:12" s="4" customFormat="1" ht="16.899999999999999" customHeight="1" x14ac:dyDescent="0.3">
      <c r="A20" s="50" t="s">
        <v>85</v>
      </c>
      <c r="B20" s="148">
        <v>1184</v>
      </c>
      <c r="C20" s="148">
        <v>1451</v>
      </c>
      <c r="D20" s="148">
        <v>1726</v>
      </c>
      <c r="E20" s="148">
        <v>1988</v>
      </c>
      <c r="F20" s="149">
        <f>SUM(F7*0.15)</f>
        <v>2007.3</v>
      </c>
      <c r="G20" s="148">
        <f>SUM(G7*0.15)</f>
        <v>2075.25</v>
      </c>
      <c r="H20" s="185"/>
      <c r="I20" s="185"/>
      <c r="J20" s="185"/>
    </row>
    <row r="21" spans="1:12" s="4" customFormat="1" ht="45" customHeight="1" x14ac:dyDescent="0.3">
      <c r="A21" s="50" t="s">
        <v>99</v>
      </c>
      <c r="B21" s="148">
        <v>3136</v>
      </c>
      <c r="C21" s="148">
        <v>3064</v>
      </c>
      <c r="D21" s="148">
        <v>3376</v>
      </c>
      <c r="E21" s="148">
        <v>3993</v>
      </c>
      <c r="F21" s="148">
        <f>SUM(F7*0.3)</f>
        <v>4014.6</v>
      </c>
      <c r="G21" s="148">
        <f>SUM(G7*0.3)</f>
        <v>4150.5</v>
      </c>
      <c r="H21" s="185"/>
      <c r="I21" s="185"/>
      <c r="J21" s="185"/>
    </row>
    <row r="22" spans="1:12" x14ac:dyDescent="0.25">
      <c r="A22" s="137"/>
      <c r="B22" s="27"/>
      <c r="C22" s="27"/>
      <c r="D22" s="27"/>
      <c r="E22" s="27"/>
      <c r="F22" s="27"/>
      <c r="G22" s="138"/>
    </row>
    <row r="23" spans="1:12" s="4" customFormat="1" ht="19.5" x14ac:dyDescent="0.3">
      <c r="A23" s="183" t="s">
        <v>69</v>
      </c>
      <c r="B23" s="184"/>
      <c r="C23" s="184"/>
      <c r="D23" s="184"/>
      <c r="E23" s="184"/>
      <c r="F23" s="184"/>
      <c r="G23" s="184"/>
    </row>
    <row r="24" spans="1:12" ht="28.9" customHeight="1" x14ac:dyDescent="0.25">
      <c r="A24" s="1"/>
      <c r="B24" s="5" t="s">
        <v>17</v>
      </c>
      <c r="C24" s="5" t="s">
        <v>54</v>
      </c>
      <c r="D24" s="5" t="s">
        <v>30</v>
      </c>
      <c r="E24" s="5" t="s">
        <v>113</v>
      </c>
      <c r="F24" s="13"/>
      <c r="G24" s="13"/>
    </row>
    <row r="25" spans="1:12" ht="19.5" customHeight="1" x14ac:dyDescent="0.3">
      <c r="A25" s="32" t="s">
        <v>71</v>
      </c>
      <c r="B25" s="156">
        <v>2183</v>
      </c>
      <c r="C25" s="156">
        <v>2358</v>
      </c>
      <c r="D25" s="156">
        <v>2275</v>
      </c>
      <c r="E25" s="156">
        <v>2280</v>
      </c>
      <c r="F25" s="13"/>
      <c r="G25" s="13"/>
      <c r="H25" s="4"/>
      <c r="I25" s="4"/>
      <c r="J25" s="4"/>
    </row>
    <row r="26" spans="1:12" ht="19.5" customHeight="1" x14ac:dyDescent="0.3">
      <c r="A26" s="32" t="s">
        <v>70</v>
      </c>
      <c r="B26" s="156">
        <v>97</v>
      </c>
      <c r="C26" s="156">
        <v>93</v>
      </c>
      <c r="D26" s="156">
        <v>86</v>
      </c>
      <c r="E26" s="156">
        <v>85</v>
      </c>
      <c r="F26" s="13"/>
      <c r="G26" s="13"/>
      <c r="H26" s="4"/>
      <c r="I26" s="4"/>
      <c r="J26" s="4"/>
    </row>
    <row r="27" spans="1:12" ht="19.5" customHeight="1" x14ac:dyDescent="0.3">
      <c r="A27" s="32" t="s">
        <v>72</v>
      </c>
      <c r="B27" s="156">
        <v>29</v>
      </c>
      <c r="C27" s="156">
        <v>21</v>
      </c>
      <c r="D27" s="156">
        <v>18</v>
      </c>
      <c r="E27" s="156">
        <v>10</v>
      </c>
      <c r="F27" s="13"/>
      <c r="G27" s="80"/>
      <c r="H27" s="75"/>
      <c r="I27" s="75"/>
      <c r="J27" s="75"/>
    </row>
    <row r="28" spans="1:12" ht="28.9" customHeight="1" x14ac:dyDescent="0.25">
      <c r="A28" s="32"/>
      <c r="B28" s="190" t="s">
        <v>86</v>
      </c>
      <c r="C28" s="191"/>
      <c r="D28" s="191"/>
      <c r="E28" s="192"/>
      <c r="F28" s="13"/>
      <c r="G28" s="80"/>
      <c r="H28" s="151"/>
      <c r="I28" s="151"/>
      <c r="J28" s="151"/>
    </row>
    <row r="29" spans="1:12" ht="15.75" customHeight="1" x14ac:dyDescent="0.25">
      <c r="A29" s="32"/>
      <c r="B29" s="118" t="s">
        <v>170</v>
      </c>
      <c r="C29" s="118" t="s">
        <v>4</v>
      </c>
      <c r="D29" s="118" t="s">
        <v>5</v>
      </c>
      <c r="E29" s="118" t="s">
        <v>171</v>
      </c>
      <c r="F29" s="13"/>
      <c r="G29" s="13"/>
    </row>
    <row r="30" spans="1:12" ht="31.5" x14ac:dyDescent="0.25">
      <c r="A30" s="48" t="s">
        <v>87</v>
      </c>
      <c r="B30" s="94">
        <v>70.17</v>
      </c>
      <c r="C30" s="94">
        <v>70.760000000000005</v>
      </c>
      <c r="D30" s="94">
        <v>74.16</v>
      </c>
      <c r="E30" s="95">
        <v>72.5</v>
      </c>
      <c r="F30" s="13"/>
      <c r="G30" s="80"/>
      <c r="H30" s="81"/>
      <c r="I30" s="81"/>
      <c r="J30" s="81"/>
    </row>
    <row r="31" spans="1:12" ht="16.5" customHeight="1" x14ac:dyDescent="0.25">
      <c r="A31" s="48"/>
      <c r="B31" s="118" t="s">
        <v>172</v>
      </c>
      <c r="C31" s="118" t="s">
        <v>173</v>
      </c>
      <c r="D31" s="118" t="s">
        <v>174</v>
      </c>
      <c r="E31" s="118" t="s">
        <v>175</v>
      </c>
      <c r="F31" s="13"/>
      <c r="G31" s="80"/>
      <c r="H31" s="81"/>
      <c r="I31" s="81"/>
      <c r="J31" s="81"/>
    </row>
    <row r="32" spans="1:12" ht="31.5" x14ac:dyDescent="0.25">
      <c r="A32" s="48" t="s">
        <v>84</v>
      </c>
      <c r="B32" s="154">
        <v>36.35</v>
      </c>
      <c r="C32" s="154">
        <v>42.44</v>
      </c>
      <c r="D32" s="154">
        <v>40.56</v>
      </c>
      <c r="E32" s="155">
        <v>38.97</v>
      </c>
      <c r="F32" s="13"/>
      <c r="G32" s="80"/>
      <c r="H32" s="81"/>
      <c r="I32" s="81"/>
      <c r="J32" s="81"/>
    </row>
    <row r="33" spans="1:10" ht="8.1" customHeight="1" x14ac:dyDescent="0.25">
      <c r="H33" s="81"/>
      <c r="I33" s="81"/>
      <c r="J33" s="81"/>
    </row>
    <row r="34" spans="1:10" ht="19.5" x14ac:dyDescent="0.3">
      <c r="A34" s="183" t="s">
        <v>34</v>
      </c>
      <c r="B34" s="184"/>
      <c r="C34" s="184"/>
      <c r="D34" s="184"/>
      <c r="E34" s="184"/>
      <c r="F34" s="184"/>
      <c r="G34" s="184"/>
    </row>
    <row r="35" spans="1:10" ht="15.75" customHeight="1" x14ac:dyDescent="0.25">
      <c r="A35" s="1"/>
      <c r="B35" s="5" t="s">
        <v>17</v>
      </c>
      <c r="C35" s="5" t="s">
        <v>54</v>
      </c>
      <c r="D35" s="5" t="s">
        <v>30</v>
      </c>
      <c r="E35" s="5" t="s">
        <v>31</v>
      </c>
      <c r="F35" s="176" t="s">
        <v>116</v>
      </c>
      <c r="G35" s="176" t="s">
        <v>117</v>
      </c>
    </row>
    <row r="36" spans="1:10" ht="31.5" x14ac:dyDescent="0.25">
      <c r="A36" s="178" t="s">
        <v>18</v>
      </c>
      <c r="B36" s="178"/>
      <c r="C36" s="178"/>
      <c r="D36" s="178"/>
      <c r="E36" s="36" t="s">
        <v>210</v>
      </c>
      <c r="F36" s="177"/>
      <c r="G36" s="177"/>
    </row>
    <row r="37" spans="1:10" ht="15.75" x14ac:dyDescent="0.25">
      <c r="A37" s="2" t="s">
        <v>16</v>
      </c>
      <c r="B37" s="8">
        <v>42455062</v>
      </c>
      <c r="C37" s="8">
        <v>43708877</v>
      </c>
      <c r="D37" s="8">
        <v>47651910</v>
      </c>
      <c r="E37" s="8">
        <v>49923042</v>
      </c>
      <c r="F37" s="152">
        <f t="shared" ref="F37:F40" si="2">+(D37-B37)/B37</f>
        <v>0.12240820658794468</v>
      </c>
      <c r="G37" s="152">
        <f t="shared" ref="G37:G40" si="3">+(E37-D37)/D37</f>
        <v>4.7660880749585903E-2</v>
      </c>
    </row>
    <row r="38" spans="1:10" ht="15.75" x14ac:dyDescent="0.25">
      <c r="A38" s="2" t="s">
        <v>20</v>
      </c>
      <c r="B38" s="8">
        <v>56893900</v>
      </c>
      <c r="C38" s="8">
        <v>55870529</v>
      </c>
      <c r="D38" s="8">
        <v>59240150</v>
      </c>
      <c r="E38" s="8">
        <v>59553813</v>
      </c>
      <c r="F38" s="152">
        <f t="shared" si="2"/>
        <v>4.1239043201467998E-2</v>
      </c>
      <c r="G38" s="152">
        <f t="shared" si="3"/>
        <v>5.2947705230320993E-3</v>
      </c>
    </row>
    <row r="39" spans="1:10" ht="15.75" x14ac:dyDescent="0.25">
      <c r="A39" s="2" t="s">
        <v>24</v>
      </c>
      <c r="B39" s="8">
        <v>8432579</v>
      </c>
      <c r="C39" s="8">
        <v>7539785</v>
      </c>
      <c r="D39" s="8">
        <v>7749399</v>
      </c>
      <c r="E39" s="8">
        <v>7650000</v>
      </c>
      <c r="F39" s="152">
        <f t="shared" si="2"/>
        <v>-8.1016732840569886E-2</v>
      </c>
      <c r="G39" s="152">
        <f t="shared" si="3"/>
        <v>-1.2826672107088563E-2</v>
      </c>
    </row>
    <row r="40" spans="1:10" ht="15.75" customHeight="1" x14ac:dyDescent="0.25">
      <c r="A40" s="2" t="s">
        <v>25</v>
      </c>
      <c r="B40" s="8">
        <v>24463976</v>
      </c>
      <c r="C40" s="8">
        <v>26258604</v>
      </c>
      <c r="D40" s="8">
        <v>27364861</v>
      </c>
      <c r="E40" s="8">
        <v>26245164</v>
      </c>
      <c r="F40" s="152">
        <f t="shared" si="2"/>
        <v>0.11857782234580348</v>
      </c>
      <c r="G40" s="152">
        <f t="shared" si="3"/>
        <v>-4.0917328248076978E-2</v>
      </c>
      <c r="H40" s="81"/>
      <c r="I40" s="81"/>
      <c r="J40" s="81"/>
    </row>
    <row r="41" spans="1:10" ht="12" customHeight="1" x14ac:dyDescent="0.25">
      <c r="A41" s="195" t="s">
        <v>211</v>
      </c>
      <c r="B41" s="196"/>
      <c r="C41" s="196"/>
      <c r="D41" s="196"/>
      <c r="E41" s="196"/>
      <c r="F41" s="196"/>
      <c r="G41" s="197"/>
      <c r="H41" s="81"/>
      <c r="I41" s="81"/>
      <c r="J41" s="81"/>
    </row>
    <row r="42" spans="1:10" ht="16.149999999999999" customHeight="1" x14ac:dyDescent="0.25">
      <c r="A42" s="178" t="s">
        <v>28</v>
      </c>
      <c r="B42" s="178"/>
      <c r="C42" s="178"/>
      <c r="D42" s="178"/>
      <c r="E42" s="178"/>
      <c r="F42" s="193" t="s">
        <v>116</v>
      </c>
      <c r="G42" s="193" t="s">
        <v>117</v>
      </c>
      <c r="H42" s="81"/>
      <c r="I42" s="81"/>
      <c r="J42" s="81"/>
    </row>
    <row r="43" spans="1:10" ht="15.75" customHeight="1" x14ac:dyDescent="0.25">
      <c r="A43" s="120"/>
      <c r="B43" s="5" t="s">
        <v>17</v>
      </c>
      <c r="C43" s="5" t="s">
        <v>54</v>
      </c>
      <c r="D43" s="5" t="s">
        <v>30</v>
      </c>
      <c r="E43" s="5" t="s">
        <v>209</v>
      </c>
      <c r="F43" s="194"/>
      <c r="G43" s="194"/>
      <c r="H43" s="81"/>
      <c r="I43" s="81"/>
      <c r="J43" s="81"/>
    </row>
    <row r="44" spans="1:10" ht="16.5" customHeight="1" x14ac:dyDescent="0.25">
      <c r="A44" s="120" t="s">
        <v>26</v>
      </c>
      <c r="B44" s="153">
        <v>50257726</v>
      </c>
      <c r="C44" s="153">
        <v>50097358</v>
      </c>
      <c r="D44" s="153">
        <v>53452036</v>
      </c>
      <c r="E44" s="153">
        <v>53002894</v>
      </c>
      <c r="F44" s="152">
        <f>+(D44-B44)/B44</f>
        <v>6.355858599730517E-2</v>
      </c>
      <c r="G44" s="152">
        <f>+(E44-D44)/D44</f>
        <v>-8.4027107966476704E-3</v>
      </c>
      <c r="H44" s="81"/>
      <c r="I44" s="81"/>
      <c r="J44" s="81"/>
    </row>
    <row r="45" spans="1:10" ht="15.75" x14ac:dyDescent="0.25">
      <c r="A45" s="120" t="s">
        <v>27</v>
      </c>
      <c r="B45" s="153">
        <v>6636174</v>
      </c>
      <c r="C45" s="153">
        <v>5773171</v>
      </c>
      <c r="D45" s="153">
        <v>5788114</v>
      </c>
      <c r="E45" s="153">
        <v>6550919</v>
      </c>
      <c r="F45" s="152">
        <f>+(D45-B45)/B45</f>
        <v>-0.12779351475714773</v>
      </c>
      <c r="G45" s="152">
        <f>+(E45-D45)/D45</f>
        <v>0.13178817832544418</v>
      </c>
    </row>
    <row r="46" spans="1:10" ht="30" customHeight="1" x14ac:dyDescent="0.25">
      <c r="A46" s="168" t="s">
        <v>212</v>
      </c>
      <c r="B46" s="169"/>
      <c r="C46" s="169"/>
      <c r="D46" s="169"/>
      <c r="E46" s="169"/>
      <c r="F46" s="169"/>
      <c r="G46" s="170"/>
    </row>
    <row r="47" spans="1:10" ht="15.75" x14ac:dyDescent="0.25">
      <c r="A47" s="120" t="s">
        <v>22</v>
      </c>
      <c r="B47" s="153">
        <v>50921980</v>
      </c>
      <c r="C47" s="153">
        <v>49929139</v>
      </c>
      <c r="D47" s="153">
        <v>52516131</v>
      </c>
      <c r="E47" s="153">
        <v>53413715</v>
      </c>
      <c r="F47" s="152">
        <f t="shared" ref="F47:F48" si="4">+(D47-B47)/B47</f>
        <v>3.1305754410963595E-2</v>
      </c>
      <c r="G47" s="152">
        <f t="shared" ref="G47:G48" si="5">+(E47-D47)/D47</f>
        <v>1.7091586583177651E-2</v>
      </c>
    </row>
    <row r="48" spans="1:10" ht="15.75" x14ac:dyDescent="0.25">
      <c r="A48" s="120" t="s">
        <v>23</v>
      </c>
      <c r="B48" s="153">
        <v>5971920</v>
      </c>
      <c r="C48" s="153">
        <v>5941390</v>
      </c>
      <c r="D48" s="153">
        <v>6724019</v>
      </c>
      <c r="E48" s="153">
        <v>6140098</v>
      </c>
      <c r="F48" s="152">
        <f t="shared" si="4"/>
        <v>0.12593922892470094</v>
      </c>
      <c r="G48" s="152">
        <f t="shared" si="5"/>
        <v>-8.684106930691303E-2</v>
      </c>
    </row>
    <row r="49" spans="1:10" ht="30" customHeight="1" x14ac:dyDescent="0.25">
      <c r="A49" s="168" t="s">
        <v>212</v>
      </c>
      <c r="B49" s="169"/>
      <c r="C49" s="169"/>
      <c r="D49" s="169"/>
      <c r="E49" s="169"/>
      <c r="F49" s="169"/>
      <c r="G49" s="170"/>
    </row>
    <row r="50" spans="1:10" ht="8.1" customHeight="1" x14ac:dyDescent="0.25">
      <c r="A50" s="139"/>
      <c r="B50" s="25"/>
      <c r="C50" s="25"/>
      <c r="D50" s="25"/>
      <c r="E50" s="25"/>
      <c r="F50" s="25"/>
      <c r="G50" s="140"/>
    </row>
    <row r="51" spans="1:10" ht="15" customHeight="1" x14ac:dyDescent="0.25">
      <c r="A51" s="120" t="s">
        <v>38</v>
      </c>
      <c r="B51" s="115">
        <v>1706817</v>
      </c>
      <c r="C51" s="116">
        <v>1374479</v>
      </c>
      <c r="D51" s="116">
        <v>1107938</v>
      </c>
      <c r="E51" s="13"/>
      <c r="F51" s="13"/>
      <c r="G51" s="13"/>
    </row>
    <row r="52" spans="1:10" ht="15" customHeight="1" x14ac:dyDescent="0.25">
      <c r="A52" s="10" t="s">
        <v>46</v>
      </c>
      <c r="B52" s="159">
        <f>B51/B38</f>
        <v>0.03</v>
      </c>
      <c r="C52" s="159">
        <f>C51/C38</f>
        <v>2.4601145265690971E-2</v>
      </c>
      <c r="D52" s="159">
        <f>D51/D38</f>
        <v>1.8702484716868542E-2</v>
      </c>
      <c r="E52" s="13"/>
      <c r="F52" s="13"/>
      <c r="G52" s="13"/>
    </row>
    <row r="53" spans="1:10" ht="8.1" customHeight="1" x14ac:dyDescent="0.25">
      <c r="C53" s="9"/>
      <c r="D53" s="9"/>
      <c r="E53" s="9"/>
      <c r="F53" s="12"/>
    </row>
    <row r="54" spans="1:10" ht="19.5" x14ac:dyDescent="0.3">
      <c r="A54" s="63" t="s">
        <v>118</v>
      </c>
      <c r="B54" s="64"/>
      <c r="C54" s="64"/>
      <c r="D54" s="64"/>
      <c r="E54" s="64"/>
      <c r="F54" s="64"/>
      <c r="G54" s="64"/>
    </row>
    <row r="55" spans="1:10" ht="15.75" x14ac:dyDescent="0.25">
      <c r="A55" s="1"/>
      <c r="B55" s="5" t="s">
        <v>17</v>
      </c>
      <c r="C55" s="5" t="s">
        <v>54</v>
      </c>
      <c r="D55" s="5" t="s">
        <v>30</v>
      </c>
      <c r="E55" s="5" t="s">
        <v>17</v>
      </c>
      <c r="F55" s="5" t="s">
        <v>54</v>
      </c>
      <c r="G55" s="5" t="s">
        <v>30</v>
      </c>
    </row>
    <row r="56" spans="1:10" ht="15.75" x14ac:dyDescent="0.25">
      <c r="A56" s="65" t="s">
        <v>8</v>
      </c>
      <c r="B56" s="126"/>
      <c r="C56" s="126"/>
      <c r="D56" s="126"/>
      <c r="E56" s="171" t="s">
        <v>130</v>
      </c>
      <c r="F56" s="172"/>
      <c r="G56" s="173"/>
    </row>
    <row r="57" spans="1:10" ht="15.75" x14ac:dyDescent="0.25">
      <c r="A57" s="67" t="s">
        <v>119</v>
      </c>
      <c r="B57" s="115">
        <v>56104999</v>
      </c>
      <c r="C57" s="116">
        <v>62448990</v>
      </c>
      <c r="D57" s="116">
        <v>65340064</v>
      </c>
      <c r="E57" s="160">
        <f>B57/B$66</f>
        <v>0.35719899068761429</v>
      </c>
      <c r="F57" s="160">
        <f t="shared" ref="F57:G65" si="6">C57/C$66</f>
        <v>0.36712068305609652</v>
      </c>
      <c r="G57" s="160">
        <f t="shared" si="6"/>
        <v>0.36615423728353858</v>
      </c>
    </row>
    <row r="58" spans="1:10" ht="15.75" x14ac:dyDescent="0.25">
      <c r="A58" s="67" t="s">
        <v>120</v>
      </c>
      <c r="B58" s="121">
        <v>1740696</v>
      </c>
      <c r="C58" s="122">
        <v>1598426</v>
      </c>
      <c r="D58" s="122">
        <v>2028282</v>
      </c>
      <c r="E58" s="160">
        <f t="shared" ref="E58:E65" si="7">B58/B$66</f>
        <v>1.1082343202500858E-2</v>
      </c>
      <c r="F58" s="160">
        <f t="shared" si="6"/>
        <v>9.3967131403506141E-3</v>
      </c>
      <c r="G58" s="160">
        <f t="shared" si="6"/>
        <v>1.1366135923985783E-2</v>
      </c>
    </row>
    <row r="59" spans="1:10" ht="18.75" customHeight="1" x14ac:dyDescent="0.25">
      <c r="A59" s="67" t="s">
        <v>121</v>
      </c>
      <c r="B59" s="121">
        <v>312193</v>
      </c>
      <c r="C59" s="122">
        <v>413682</v>
      </c>
      <c r="D59" s="122">
        <v>278710</v>
      </c>
      <c r="E59" s="160">
        <f t="shared" si="7"/>
        <v>1.9876129843570331E-3</v>
      </c>
      <c r="F59" s="160">
        <f t="shared" si="6"/>
        <v>2.4319243338925436E-3</v>
      </c>
      <c r="G59" s="160">
        <f t="shared" si="6"/>
        <v>1.5618418658618857E-3</v>
      </c>
      <c r="H59" s="81"/>
      <c r="I59" s="81"/>
      <c r="J59" s="81"/>
    </row>
    <row r="60" spans="1:10" ht="15.75" customHeight="1" x14ac:dyDescent="0.25">
      <c r="A60" s="67" t="s">
        <v>122</v>
      </c>
      <c r="B60" s="121">
        <v>16947665</v>
      </c>
      <c r="C60" s="122">
        <v>16410000</v>
      </c>
      <c r="D60" s="122">
        <v>18206308</v>
      </c>
      <c r="E60" s="160">
        <f t="shared" si="7"/>
        <v>0.10789927707710692</v>
      </c>
      <c r="F60" s="160">
        <f t="shared" si="6"/>
        <v>9.6469941450623042E-2</v>
      </c>
      <c r="G60" s="160">
        <f t="shared" si="6"/>
        <v>0.10202495087071213</v>
      </c>
      <c r="H60" s="81"/>
      <c r="I60" s="81"/>
      <c r="J60" s="81"/>
    </row>
    <row r="61" spans="1:10" ht="16.5" customHeight="1" x14ac:dyDescent="0.25">
      <c r="A61" s="67" t="s">
        <v>123</v>
      </c>
      <c r="B61" s="121">
        <v>10629061</v>
      </c>
      <c r="C61" s="122">
        <v>11012488</v>
      </c>
      <c r="D61" s="122">
        <v>12990525</v>
      </c>
      <c r="E61" s="160">
        <f t="shared" si="7"/>
        <v>6.7671151035170393E-2</v>
      </c>
      <c r="F61" s="160">
        <f t="shared" si="6"/>
        <v>6.4739431601809186E-2</v>
      </c>
      <c r="G61" s="160">
        <f t="shared" si="6"/>
        <v>7.2796619441446206E-2</v>
      </c>
      <c r="H61" s="81"/>
      <c r="I61" s="81"/>
      <c r="J61" s="81"/>
    </row>
    <row r="62" spans="1:10" ht="15.75" x14ac:dyDescent="0.25">
      <c r="A62" s="67" t="s">
        <v>124</v>
      </c>
      <c r="B62" s="121">
        <v>14063119</v>
      </c>
      <c r="C62" s="122">
        <v>18689106</v>
      </c>
      <c r="D62" s="122">
        <v>16840459</v>
      </c>
      <c r="E62" s="160">
        <f t="shared" si="7"/>
        <v>8.9534480033050381E-2</v>
      </c>
      <c r="F62" s="160">
        <f t="shared" si="6"/>
        <v>0.1098681877869889</v>
      </c>
      <c r="G62" s="160">
        <f t="shared" si="6"/>
        <v>9.4370973077860812E-2</v>
      </c>
    </row>
    <row r="63" spans="1:10" ht="15.75" x14ac:dyDescent="0.25">
      <c r="A63" s="67" t="s">
        <v>125</v>
      </c>
      <c r="B63" s="121">
        <v>16115537</v>
      </c>
      <c r="C63" s="122">
        <v>15788868</v>
      </c>
      <c r="D63" s="122">
        <v>17091041</v>
      </c>
      <c r="E63" s="160">
        <f t="shared" si="7"/>
        <v>0.10260143754371875</v>
      </c>
      <c r="F63" s="160">
        <f t="shared" si="6"/>
        <v>9.2818474803876644E-2</v>
      </c>
      <c r="G63" s="160">
        <f t="shared" si="6"/>
        <v>9.5775190574295829E-2</v>
      </c>
    </row>
    <row r="64" spans="1:10" ht="15.75" x14ac:dyDescent="0.25">
      <c r="A64" s="67" t="s">
        <v>126</v>
      </c>
      <c r="B64" s="121">
        <v>9465432</v>
      </c>
      <c r="C64" s="122">
        <v>9340945</v>
      </c>
      <c r="D64" s="122">
        <v>8859930</v>
      </c>
      <c r="E64" s="160">
        <f t="shared" si="7"/>
        <v>6.0262771893503576E-2</v>
      </c>
      <c r="F64" s="160">
        <f t="shared" si="6"/>
        <v>5.4912883439578918E-2</v>
      </c>
      <c r="G64" s="160">
        <f t="shared" si="6"/>
        <v>4.9649490877993967E-2</v>
      </c>
    </row>
    <row r="65" spans="1:7" ht="16.5" thickBot="1" x14ac:dyDescent="0.3">
      <c r="A65" s="67" t="s">
        <v>127</v>
      </c>
      <c r="B65" s="144">
        <v>31690608</v>
      </c>
      <c r="C65" s="145">
        <v>34402294</v>
      </c>
      <c r="D65" s="145">
        <v>36814245</v>
      </c>
      <c r="E65" s="160">
        <f t="shared" si="7"/>
        <v>0.2017619355429778</v>
      </c>
      <c r="F65" s="160">
        <f t="shared" si="6"/>
        <v>0.20224176038678368</v>
      </c>
      <c r="G65" s="160">
        <f t="shared" si="6"/>
        <v>0.20630056008430483</v>
      </c>
    </row>
    <row r="66" spans="1:7" ht="15.75" x14ac:dyDescent="0.25">
      <c r="A66" s="66" t="s">
        <v>128</v>
      </c>
      <c r="B66" s="143">
        <f>SUM(B56:B65)</f>
        <v>157069310</v>
      </c>
      <c r="C66" s="143">
        <f t="shared" ref="C66:D66" si="8">SUM(C56:C65)</f>
        <v>170104799</v>
      </c>
      <c r="D66" s="143">
        <f t="shared" si="8"/>
        <v>178449564</v>
      </c>
      <c r="E66" s="68"/>
      <c r="F66" s="68"/>
      <c r="G66" s="68"/>
    </row>
    <row r="67" spans="1:7" x14ac:dyDescent="0.25">
      <c r="C67" s="9"/>
      <c r="D67" s="9"/>
      <c r="E67" s="9"/>
      <c r="F67" s="12"/>
    </row>
    <row r="68" spans="1:7" ht="19.5" x14ac:dyDescent="0.3">
      <c r="A68" s="174" t="s">
        <v>15</v>
      </c>
      <c r="B68" s="175"/>
      <c r="C68" s="175"/>
      <c r="D68" s="175"/>
      <c r="E68" s="175"/>
      <c r="F68" s="175"/>
      <c r="G68" s="175"/>
    </row>
    <row r="69" spans="1:7" ht="20.100000000000001" customHeight="1" x14ac:dyDescent="0.25">
      <c r="A69" s="1"/>
      <c r="B69" s="5">
        <v>41455</v>
      </c>
      <c r="C69" s="5">
        <v>41820</v>
      </c>
      <c r="D69" s="5">
        <v>42185</v>
      </c>
      <c r="E69" s="100" t="s">
        <v>187</v>
      </c>
      <c r="F69" s="176" t="s">
        <v>111</v>
      </c>
      <c r="G69" s="176" t="s">
        <v>62</v>
      </c>
    </row>
    <row r="70" spans="1:7" ht="20.100000000000001" customHeight="1" x14ac:dyDescent="0.25">
      <c r="A70" s="178" t="s">
        <v>8</v>
      </c>
      <c r="B70" s="178"/>
      <c r="C70" s="178"/>
      <c r="D70" s="178"/>
      <c r="E70" s="178"/>
      <c r="F70" s="177"/>
      <c r="G70" s="177"/>
    </row>
    <row r="71" spans="1:7" ht="15.75" x14ac:dyDescent="0.25">
      <c r="A71" s="2" t="s">
        <v>9</v>
      </c>
      <c r="B71" s="8">
        <v>49924046</v>
      </c>
      <c r="C71" s="8">
        <v>49827342</v>
      </c>
      <c r="D71" s="8">
        <v>45679888</v>
      </c>
      <c r="E71" s="13"/>
      <c r="F71" s="161">
        <f t="shared" ref="F71" si="9">+(D71-B71)/B71</f>
        <v>-8.5012300485421397E-2</v>
      </c>
      <c r="G71" s="161">
        <f>+(D71-C71)/C71</f>
        <v>-8.3236508983360977E-2</v>
      </c>
    </row>
    <row r="72" spans="1:7" ht="15.75" customHeight="1" x14ac:dyDescent="0.25">
      <c r="A72" s="2" t="s">
        <v>10</v>
      </c>
      <c r="B72" s="8">
        <v>0</v>
      </c>
      <c r="C72" s="8">
        <v>0</v>
      </c>
      <c r="D72" s="8">
        <v>0</v>
      </c>
      <c r="E72" s="13"/>
      <c r="F72" s="161" t="s">
        <v>202</v>
      </c>
      <c r="G72" s="161" t="s">
        <v>202</v>
      </c>
    </row>
    <row r="73" spans="1:7" ht="15.75" customHeight="1" x14ac:dyDescent="0.25">
      <c r="A73" s="2" t="s">
        <v>11</v>
      </c>
      <c r="B73" s="8">
        <f>437780+2119408+7142</f>
        <v>2564330</v>
      </c>
      <c r="C73" s="8">
        <f>575200+1906780+1428</f>
        <v>2483408</v>
      </c>
      <c r="D73" s="8">
        <v>2512077</v>
      </c>
      <c r="E73" s="13"/>
      <c r="F73" s="161">
        <f t="shared" ref="F73:F76" si="10">+(D73-B73)/B73</f>
        <v>-2.037686257228984E-2</v>
      </c>
      <c r="G73" s="161">
        <f t="shared" ref="G73:G76" si="11">+(D73-C73)/C73</f>
        <v>1.1544216657109908E-2</v>
      </c>
    </row>
    <row r="74" spans="1:7" ht="16.5" customHeight="1" x14ac:dyDescent="0.25">
      <c r="A74" s="2" t="s">
        <v>12</v>
      </c>
      <c r="B74" s="8">
        <v>14566551</v>
      </c>
      <c r="C74" s="8">
        <v>14642859</v>
      </c>
      <c r="D74" s="8">
        <v>16396881</v>
      </c>
      <c r="E74" s="13"/>
      <c r="F74" s="161">
        <f t="shared" si="10"/>
        <v>0.12565294282771536</v>
      </c>
      <c r="G74" s="161">
        <f t="shared" si="11"/>
        <v>0.119786853100204</v>
      </c>
    </row>
    <row r="75" spans="1:7" ht="15.75" x14ac:dyDescent="0.25">
      <c r="A75" s="2" t="s">
        <v>13</v>
      </c>
      <c r="B75" s="8">
        <v>141310074</v>
      </c>
      <c r="C75" s="8">
        <v>183190205</v>
      </c>
      <c r="D75" s="8">
        <v>173298893</v>
      </c>
      <c r="E75" s="13"/>
      <c r="F75" s="161">
        <f t="shared" si="10"/>
        <v>0.22637323790517583</v>
      </c>
      <c r="G75" s="161">
        <f t="shared" si="11"/>
        <v>-5.3994764621831171E-2</v>
      </c>
    </row>
    <row r="76" spans="1:7" ht="15.75" x14ac:dyDescent="0.25">
      <c r="A76" s="2" t="s">
        <v>14</v>
      </c>
      <c r="B76" s="8">
        <v>42369589</v>
      </c>
      <c r="C76" s="8">
        <v>43176085</v>
      </c>
      <c r="D76" s="8">
        <v>-14178799</v>
      </c>
      <c r="E76" s="68">
        <f>-14178799+53331706</f>
        <v>39152907</v>
      </c>
      <c r="F76" s="161">
        <f t="shared" si="10"/>
        <v>-1.3346456582337864</v>
      </c>
      <c r="G76" s="161">
        <f t="shared" si="11"/>
        <v>-1.3283947351873149</v>
      </c>
    </row>
    <row r="77" spans="1:7" ht="15.75" x14ac:dyDescent="0.25">
      <c r="A77" s="180" t="s">
        <v>186</v>
      </c>
      <c r="B77" s="181"/>
      <c r="C77" s="181"/>
      <c r="D77" s="181"/>
      <c r="E77" s="181"/>
      <c r="F77" s="181"/>
      <c r="G77" s="182"/>
    </row>
    <row r="78" spans="1:7" ht="15.75" x14ac:dyDescent="0.25">
      <c r="A78" s="101"/>
      <c r="B78" s="102"/>
      <c r="C78" s="102"/>
      <c r="D78" s="102"/>
      <c r="E78" s="102"/>
      <c r="F78" s="102"/>
      <c r="G78" s="102"/>
    </row>
    <row r="79" spans="1:7" ht="19.5" x14ac:dyDescent="0.3">
      <c r="A79" s="174" t="s">
        <v>112</v>
      </c>
      <c r="B79" s="175"/>
      <c r="C79" s="175"/>
      <c r="D79" s="175"/>
      <c r="E79" s="175"/>
      <c r="F79" s="175"/>
      <c r="G79" s="175"/>
    </row>
    <row r="80" spans="1:7" ht="15.75" x14ac:dyDescent="0.25">
      <c r="A80" s="2"/>
      <c r="B80" s="5">
        <v>41455</v>
      </c>
      <c r="C80" s="5">
        <v>41820</v>
      </c>
      <c r="D80" s="5">
        <v>42185</v>
      </c>
      <c r="E80" s="100" t="s">
        <v>187</v>
      </c>
      <c r="F80" s="13"/>
      <c r="G80" s="13"/>
    </row>
    <row r="81" spans="1:7" ht="15.75" customHeight="1" x14ac:dyDescent="0.25">
      <c r="A81" s="2" t="s">
        <v>80</v>
      </c>
      <c r="B81" s="104">
        <v>0.27514070659305417</v>
      </c>
      <c r="C81" s="104">
        <v>0.2561041578272143</v>
      </c>
      <c r="D81" s="104">
        <v>-5.8610092301610892E-2</v>
      </c>
      <c r="E81" s="104">
        <v>0.22523314157647609</v>
      </c>
      <c r="F81" s="13"/>
      <c r="G81" s="13"/>
    </row>
    <row r="82" spans="1:7" ht="15.75" customHeight="1" x14ac:dyDescent="0.25">
      <c r="A82" s="2" t="s">
        <v>76</v>
      </c>
      <c r="B82" s="104">
        <v>0.32001658990002368</v>
      </c>
      <c r="C82" s="104">
        <v>0.25046172637887487</v>
      </c>
      <c r="D82" s="104">
        <v>-6.3545316472390853E-2</v>
      </c>
      <c r="E82" s="104">
        <v>0.24419874972888603</v>
      </c>
      <c r="F82" s="13"/>
      <c r="G82" s="13"/>
    </row>
    <row r="83" spans="1:7" ht="16.5" customHeight="1" x14ac:dyDescent="0.25">
      <c r="A83" s="2" t="s">
        <v>77</v>
      </c>
      <c r="B83" s="104">
        <v>0.11311908940415229</v>
      </c>
      <c r="C83" s="104">
        <v>2.8188800637823125E-3</v>
      </c>
      <c r="D83" s="104">
        <v>0.10677394094104625</v>
      </c>
      <c r="E83" s="104">
        <v>0.10677394094104625</v>
      </c>
      <c r="F83" s="13"/>
      <c r="G83" s="13"/>
    </row>
    <row r="84" spans="1:7" ht="15.75" x14ac:dyDescent="0.25">
      <c r="A84" s="2" t="s">
        <v>78</v>
      </c>
      <c r="B84" s="104">
        <v>3.8346375885410349</v>
      </c>
      <c r="C84" s="104">
        <v>3.714995821512725</v>
      </c>
      <c r="D84" s="104">
        <v>3.1063775482666491</v>
      </c>
      <c r="E84" s="104">
        <v>3.1063775482666491</v>
      </c>
      <c r="F84" s="13"/>
      <c r="G84" s="13"/>
    </row>
    <row r="85" spans="1:7" ht="15.75" x14ac:dyDescent="0.25">
      <c r="A85" s="2" t="s">
        <v>79</v>
      </c>
      <c r="B85" s="105">
        <f>B71/B74</f>
        <v>3.4273072603116552</v>
      </c>
      <c r="C85" s="105">
        <f>C71/C74</f>
        <v>3.4028424367126666</v>
      </c>
      <c r="D85" s="105">
        <f>D71/D74</f>
        <v>2.785888852886107</v>
      </c>
      <c r="E85" s="105">
        <f>D71/D74</f>
        <v>2.785888852886107</v>
      </c>
      <c r="F85" s="13"/>
      <c r="G85" s="13"/>
    </row>
    <row r="86" spans="1:7" ht="15.75" x14ac:dyDescent="0.25">
      <c r="A86" s="180" t="s">
        <v>188</v>
      </c>
      <c r="B86" s="181"/>
      <c r="C86" s="181"/>
      <c r="D86" s="181"/>
      <c r="E86" s="181"/>
      <c r="F86" s="181"/>
      <c r="G86" s="182"/>
    </row>
    <row r="87" spans="1:7" ht="15.75" x14ac:dyDescent="0.25">
      <c r="A87" s="101"/>
      <c r="B87" s="102"/>
      <c r="C87" s="102"/>
      <c r="D87" s="102"/>
      <c r="E87" s="102"/>
      <c r="F87" s="102"/>
      <c r="G87" s="102"/>
    </row>
    <row r="88" spans="1:7" ht="19.5" x14ac:dyDescent="0.3">
      <c r="A88" s="174" t="s">
        <v>63</v>
      </c>
      <c r="B88" s="175"/>
      <c r="C88" s="175"/>
      <c r="D88" s="175"/>
      <c r="E88" s="175"/>
      <c r="F88" s="175"/>
      <c r="G88" s="175"/>
    </row>
    <row r="89" spans="1:7" ht="15.75" x14ac:dyDescent="0.25">
      <c r="A89" s="1"/>
      <c r="B89" s="5">
        <v>41455</v>
      </c>
      <c r="C89" s="5">
        <v>41820</v>
      </c>
      <c r="D89" s="5">
        <v>42185</v>
      </c>
      <c r="E89" s="13"/>
      <c r="F89" s="13"/>
      <c r="G89" s="13"/>
    </row>
    <row r="90" spans="1:7" ht="15.75" x14ac:dyDescent="0.25">
      <c r="A90" s="2" t="s">
        <v>64</v>
      </c>
      <c r="B90" s="162">
        <v>5.0996960413825343E-2</v>
      </c>
      <c r="C90" s="162">
        <v>5.8369679168856811E-2</v>
      </c>
      <c r="D90" s="162">
        <v>5.7092849258764809E-2</v>
      </c>
      <c r="E90" s="13"/>
      <c r="F90" s="13"/>
      <c r="G90" s="13"/>
    </row>
    <row r="91" spans="1:7" ht="25.15" customHeight="1" x14ac:dyDescent="0.25">
      <c r="A91" s="179" t="s">
        <v>65</v>
      </c>
      <c r="B91" s="179"/>
      <c r="C91" s="179"/>
      <c r="D91" s="179"/>
      <c r="E91" s="179"/>
      <c r="F91" s="179"/>
      <c r="G91" s="179"/>
    </row>
    <row r="92" spans="1:7" ht="15.75" customHeight="1" x14ac:dyDescent="0.25">
      <c r="A92" s="2" t="s">
        <v>66</v>
      </c>
      <c r="B92" s="123">
        <v>8295852</v>
      </c>
      <c r="C92" s="123">
        <v>10212920</v>
      </c>
      <c r="D92" s="124">
        <v>10517487</v>
      </c>
      <c r="E92" s="13"/>
      <c r="F92" s="13"/>
      <c r="G92" s="13"/>
    </row>
    <row r="93" spans="1:7" ht="15.75" customHeight="1" x14ac:dyDescent="0.25">
      <c r="A93" s="2" t="s">
        <v>67</v>
      </c>
      <c r="B93" s="123">
        <f>2247144+141310074</f>
        <v>143557218</v>
      </c>
      <c r="C93" s="123">
        <f>3286848+183190205</f>
        <v>186477053</v>
      </c>
      <c r="D93" s="123">
        <v>176515046</v>
      </c>
      <c r="E93" s="13"/>
      <c r="F93" s="13"/>
      <c r="G93" s="13"/>
    </row>
    <row r="94" spans="1:7" ht="16.5" customHeight="1" x14ac:dyDescent="0.25">
      <c r="A94" s="119" t="s">
        <v>68</v>
      </c>
      <c r="B94" s="163">
        <v>0.93200000000000005</v>
      </c>
      <c r="C94" s="164">
        <v>0.91400000000000003</v>
      </c>
      <c r="D94" s="164">
        <v>0.94699999999999995</v>
      </c>
      <c r="E94" s="13"/>
      <c r="F94" s="13"/>
      <c r="G94" s="13"/>
    </row>
    <row r="95" spans="1:7" ht="15.75" x14ac:dyDescent="0.25">
      <c r="A95" s="10" t="s">
        <v>81</v>
      </c>
      <c r="B95" s="150">
        <f>+B93/B9</f>
        <v>13494.756345177664</v>
      </c>
      <c r="C95" s="150">
        <f>+C93/C9</f>
        <v>17194.749008759798</v>
      </c>
      <c r="D95" s="150">
        <f>+D93/D9</f>
        <v>15935.275435587253</v>
      </c>
      <c r="E95" s="13"/>
      <c r="F95" s="13"/>
      <c r="G95" s="13"/>
    </row>
    <row r="96" spans="1:7" ht="10.15" customHeight="1" x14ac:dyDescent="0.25"/>
    <row r="97" spans="1:10" ht="15.6" customHeight="1" x14ac:dyDescent="0.3">
      <c r="A97" s="174" t="s">
        <v>29</v>
      </c>
      <c r="B97" s="175"/>
      <c r="C97" s="175"/>
      <c r="D97" s="175"/>
      <c r="E97" s="175"/>
      <c r="F97" s="175"/>
      <c r="G97" s="175"/>
    </row>
    <row r="98" spans="1:10" ht="22.5" customHeight="1" x14ac:dyDescent="0.25">
      <c r="A98" s="2"/>
      <c r="B98" s="5">
        <v>41455</v>
      </c>
      <c r="C98" s="5">
        <v>41820</v>
      </c>
      <c r="D98" s="5">
        <v>42185</v>
      </c>
      <c r="E98" s="5"/>
      <c r="F98" s="176" t="s">
        <v>111</v>
      </c>
      <c r="G98" s="176" t="s">
        <v>62</v>
      </c>
    </row>
    <row r="99" spans="1:10" ht="15.75" x14ac:dyDescent="0.25">
      <c r="A99" s="34" t="s">
        <v>35</v>
      </c>
      <c r="B99" s="127"/>
      <c r="C99" s="128"/>
      <c r="D99" s="128"/>
      <c r="E99" s="13"/>
      <c r="F99" s="177"/>
      <c r="G99" s="177"/>
    </row>
    <row r="100" spans="1:10" ht="16.149999999999999" customHeight="1" x14ac:dyDescent="0.25">
      <c r="A100" s="2" t="s">
        <v>36</v>
      </c>
      <c r="B100" s="8">
        <v>9837139</v>
      </c>
      <c r="C100" s="8">
        <v>10207238</v>
      </c>
      <c r="D100" s="8">
        <v>9943008</v>
      </c>
      <c r="E100" s="13"/>
      <c r="F100" s="103">
        <f t="shared" ref="F100:F104" si="12">+(D100-B100)/B100</f>
        <v>1.0762173839365287E-2</v>
      </c>
      <c r="G100" s="103">
        <f>+(D100-C100)/C100</f>
        <v>-2.5886532674167097E-2</v>
      </c>
    </row>
    <row r="101" spans="1:10" ht="15.75" customHeight="1" x14ac:dyDescent="0.25">
      <c r="A101" s="2" t="s">
        <v>45</v>
      </c>
      <c r="B101" s="125">
        <v>1841426</v>
      </c>
      <c r="C101" s="125">
        <v>3051630</v>
      </c>
      <c r="D101" s="125">
        <v>1237543</v>
      </c>
      <c r="E101" s="13"/>
      <c r="F101" s="103">
        <f t="shared" si="12"/>
        <v>-0.3279431266855144</v>
      </c>
      <c r="G101" s="103">
        <f t="shared" ref="G101:G103" si="13">+(D101-C101)/C101</f>
        <v>-0.59446492530221551</v>
      </c>
    </row>
    <row r="102" spans="1:10" ht="15.75" customHeight="1" thickBot="1" x14ac:dyDescent="0.3">
      <c r="A102" s="2" t="s">
        <v>44</v>
      </c>
      <c r="B102" s="142">
        <v>9385563</v>
      </c>
      <c r="C102" s="142">
        <v>9270953</v>
      </c>
      <c r="D102" s="142">
        <v>8869133</v>
      </c>
      <c r="E102" s="13"/>
      <c r="F102" s="103">
        <f t="shared" si="12"/>
        <v>-5.5023870171666843E-2</v>
      </c>
      <c r="G102" s="103">
        <f t="shared" si="13"/>
        <v>-4.3341822572069991E-2</v>
      </c>
    </row>
    <row r="103" spans="1:10" ht="16.5" customHeight="1" x14ac:dyDescent="0.25">
      <c r="A103" s="34" t="s">
        <v>37</v>
      </c>
      <c r="B103" s="141">
        <f>+SUM(B100:B102)</f>
        <v>21064128</v>
      </c>
      <c r="C103" s="141">
        <f>+SUM(C100:C102)</f>
        <v>22529821</v>
      </c>
      <c r="D103" s="141">
        <f>+SUM(D100:D102)</f>
        <v>20049684</v>
      </c>
      <c r="E103" s="13"/>
      <c r="F103" s="103">
        <f t="shared" si="12"/>
        <v>-4.8159790901384572E-2</v>
      </c>
      <c r="G103" s="103">
        <f t="shared" si="13"/>
        <v>-0.11008241033073454</v>
      </c>
    </row>
    <row r="104" spans="1:10" ht="16.149999999999999" customHeight="1" x14ac:dyDescent="0.25">
      <c r="A104" s="2" t="s">
        <v>75</v>
      </c>
      <c r="B104" s="8">
        <v>19321758</v>
      </c>
      <c r="C104" s="8">
        <v>21170490</v>
      </c>
      <c r="D104" s="8">
        <v>18190163</v>
      </c>
      <c r="E104" s="13"/>
      <c r="F104" s="103">
        <f t="shared" si="12"/>
        <v>-5.8565840644521062E-2</v>
      </c>
      <c r="G104" s="103">
        <f>+(D104-C104)/C104</f>
        <v>-0.14077742177908967</v>
      </c>
    </row>
    <row r="106" spans="1:10" ht="19.5" x14ac:dyDescent="0.3">
      <c r="A106" s="183" t="s">
        <v>88</v>
      </c>
      <c r="B106" s="184"/>
      <c r="C106" s="184"/>
      <c r="D106" s="184"/>
      <c r="E106" s="184"/>
      <c r="F106" s="184"/>
      <c r="G106" s="184"/>
    </row>
    <row r="107" spans="1:10" ht="27" customHeight="1" x14ac:dyDescent="0.25">
      <c r="A107" s="2"/>
      <c r="B107" s="5" t="s">
        <v>4</v>
      </c>
      <c r="C107" s="5" t="s">
        <v>5</v>
      </c>
      <c r="D107" s="5" t="s">
        <v>47</v>
      </c>
      <c r="E107" s="5" t="s">
        <v>108</v>
      </c>
      <c r="F107" s="26" t="s">
        <v>109</v>
      </c>
      <c r="G107" s="26" t="s">
        <v>110</v>
      </c>
    </row>
    <row r="108" spans="1:10" ht="15.75" x14ac:dyDescent="0.25">
      <c r="A108" s="32" t="s">
        <v>40</v>
      </c>
      <c r="B108" s="111">
        <v>489</v>
      </c>
      <c r="C108" s="111">
        <v>498</v>
      </c>
      <c r="D108" s="33">
        <v>498</v>
      </c>
      <c r="E108" s="33">
        <v>510</v>
      </c>
      <c r="F108" s="152">
        <f>+(E108-B108)/B108</f>
        <v>4.2944785276073622E-2</v>
      </c>
      <c r="G108" s="152">
        <f t="shared" ref="G108" si="14">+(E108-D108)/D108</f>
        <v>2.4096385542168676E-2</v>
      </c>
    </row>
    <row r="109" spans="1:10" ht="16.5" customHeight="1" thickBot="1" x14ac:dyDescent="0.3">
      <c r="A109" s="32" t="s">
        <v>39</v>
      </c>
      <c r="B109" s="113">
        <v>727</v>
      </c>
      <c r="C109" s="113">
        <v>776</v>
      </c>
      <c r="D109" s="114">
        <v>840</v>
      </c>
      <c r="E109" s="114">
        <v>881</v>
      </c>
      <c r="F109" s="165">
        <f t="shared" ref="F109:F115" si="15">+(E109-B109)/B109</f>
        <v>0.21182943603851445</v>
      </c>
      <c r="G109" s="165">
        <f t="shared" ref="G109:G115" si="16">+(E109-D109)/D109</f>
        <v>4.880952380952381E-2</v>
      </c>
    </row>
    <row r="110" spans="1:10" s="28" customFormat="1" ht="15.75" customHeight="1" x14ac:dyDescent="0.25">
      <c r="A110" s="42" t="s">
        <v>41</v>
      </c>
      <c r="B110" s="112">
        <f>+B109+B108</f>
        <v>1216</v>
      </c>
      <c r="C110" s="112">
        <f>+C109+C108</f>
        <v>1274</v>
      </c>
      <c r="D110" s="112">
        <f>+D109+D108</f>
        <v>1338</v>
      </c>
      <c r="E110" s="112">
        <f>+E109+E108</f>
        <v>1391</v>
      </c>
      <c r="F110" s="166">
        <f t="shared" si="15"/>
        <v>0.14391447368421054</v>
      </c>
      <c r="G110" s="166">
        <f t="shared" si="16"/>
        <v>3.9611360239162931E-2</v>
      </c>
      <c r="H110" s="3"/>
      <c r="I110" s="3"/>
      <c r="J110" s="3"/>
    </row>
    <row r="111" spans="1:10" ht="16.5" customHeight="1" x14ac:dyDescent="0.25">
      <c r="A111" s="32" t="s">
        <v>42</v>
      </c>
      <c r="B111" s="33">
        <v>136</v>
      </c>
      <c r="C111" s="33">
        <v>126</v>
      </c>
      <c r="D111" s="33">
        <v>99</v>
      </c>
      <c r="E111" s="33">
        <v>101</v>
      </c>
      <c r="F111" s="152">
        <f t="shared" si="15"/>
        <v>-0.25735294117647056</v>
      </c>
      <c r="G111" s="152">
        <f t="shared" si="16"/>
        <v>2.0202020202020204E-2</v>
      </c>
    </row>
    <row r="112" spans="1:10" ht="16.5" thickBot="1" x14ac:dyDescent="0.3">
      <c r="A112" s="32" t="s">
        <v>43</v>
      </c>
      <c r="B112" s="114">
        <v>121</v>
      </c>
      <c r="C112" s="114">
        <v>126</v>
      </c>
      <c r="D112" s="114">
        <v>78</v>
      </c>
      <c r="E112" s="114">
        <v>79</v>
      </c>
      <c r="F112" s="165">
        <f t="shared" si="15"/>
        <v>-0.34710743801652894</v>
      </c>
      <c r="G112" s="165">
        <f t="shared" si="16"/>
        <v>1.282051282051282E-2</v>
      </c>
    </row>
    <row r="113" spans="1:10" s="28" customFormat="1" ht="15.75" x14ac:dyDescent="0.25">
      <c r="A113" s="42" t="s">
        <v>52</v>
      </c>
      <c r="B113" s="112">
        <f>+B112+B111</f>
        <v>257</v>
      </c>
      <c r="C113" s="112">
        <f>+C112+C111</f>
        <v>252</v>
      </c>
      <c r="D113" s="112">
        <f>+D112+D111</f>
        <v>177</v>
      </c>
      <c r="E113" s="112">
        <f>+E112+E111</f>
        <v>180</v>
      </c>
      <c r="F113" s="166">
        <f t="shared" si="15"/>
        <v>-0.29961089494163423</v>
      </c>
      <c r="G113" s="166">
        <f t="shared" si="16"/>
        <v>1.6949152542372881E-2</v>
      </c>
    </row>
    <row r="114" spans="1:10" ht="15.75" x14ac:dyDescent="0.25">
      <c r="A114" s="32" t="s">
        <v>57</v>
      </c>
      <c r="B114" s="33">
        <v>1121</v>
      </c>
      <c r="C114" s="33">
        <v>1043</v>
      </c>
      <c r="D114" s="33">
        <v>1187</v>
      </c>
      <c r="E114" s="33">
        <v>1144</v>
      </c>
      <c r="F114" s="152">
        <f t="shared" si="15"/>
        <v>2.0517395182872437E-2</v>
      </c>
      <c r="G114" s="152">
        <f t="shared" si="16"/>
        <v>-3.6225779275484413E-2</v>
      </c>
    </row>
    <row r="115" spans="1:10" ht="15.75" x14ac:dyDescent="0.25">
      <c r="A115" s="32" t="s">
        <v>58</v>
      </c>
      <c r="B115" s="33">
        <v>221</v>
      </c>
      <c r="C115" s="33">
        <v>228</v>
      </c>
      <c r="D115" s="33">
        <v>264</v>
      </c>
      <c r="E115" s="33">
        <v>243</v>
      </c>
      <c r="F115" s="152">
        <f t="shared" si="15"/>
        <v>9.9547511312217188E-2</v>
      </c>
      <c r="G115" s="152">
        <f t="shared" si="16"/>
        <v>-7.9545454545454544E-2</v>
      </c>
    </row>
    <row r="116" spans="1:10" ht="6" customHeight="1" x14ac:dyDescent="0.25">
      <c r="A116" s="46"/>
      <c r="B116" s="37"/>
      <c r="C116" s="37"/>
      <c r="D116" s="37"/>
      <c r="E116" s="37"/>
      <c r="F116" s="69"/>
      <c r="G116" s="47"/>
    </row>
    <row r="117" spans="1:10" ht="15.75" x14ac:dyDescent="0.25">
      <c r="A117" s="32" t="s">
        <v>132</v>
      </c>
      <c r="B117" s="189" t="s">
        <v>133</v>
      </c>
      <c r="C117" s="189"/>
      <c r="D117" s="189"/>
      <c r="E117" s="189"/>
      <c r="F117" s="189"/>
      <c r="G117" s="189"/>
    </row>
    <row r="118" spans="1:10" s="72" customFormat="1" ht="6" customHeight="1" x14ac:dyDescent="0.25">
      <c r="A118" s="70"/>
      <c r="B118" s="71"/>
      <c r="C118" s="71"/>
      <c r="D118" s="71"/>
      <c r="E118" s="71"/>
      <c r="F118" s="71"/>
      <c r="G118" s="71"/>
    </row>
    <row r="119" spans="1:10" ht="19.5" x14ac:dyDescent="0.3">
      <c r="A119" s="174" t="s">
        <v>59</v>
      </c>
      <c r="B119" s="175"/>
      <c r="C119" s="175"/>
      <c r="D119" s="175"/>
      <c r="E119" s="175"/>
      <c r="F119" s="175"/>
      <c r="G119" s="175"/>
    </row>
    <row r="120" spans="1:10" ht="44.25" x14ac:dyDescent="0.25">
      <c r="A120" s="10"/>
      <c r="B120" s="5" t="s">
        <v>17</v>
      </c>
      <c r="C120" s="5" t="s">
        <v>54</v>
      </c>
      <c r="D120" s="5" t="s">
        <v>30</v>
      </c>
      <c r="E120" s="5" t="s">
        <v>107</v>
      </c>
      <c r="F120" s="13"/>
      <c r="G120" s="80"/>
      <c r="H120" s="81"/>
      <c r="I120" s="81"/>
      <c r="J120" s="81"/>
    </row>
    <row r="121" spans="1:10" ht="15.75" customHeight="1" x14ac:dyDescent="0.25">
      <c r="A121" s="10" t="s">
        <v>82</v>
      </c>
      <c r="B121" s="87">
        <v>0.46400000000000002</v>
      </c>
      <c r="C121" s="87">
        <v>0.49099999999999999</v>
      </c>
      <c r="D121" s="167">
        <v>0.495</v>
      </c>
      <c r="E121" s="167">
        <v>0.46300000000000002</v>
      </c>
      <c r="F121" s="13"/>
      <c r="G121" s="80"/>
    </row>
    <row r="122" spans="1:10" ht="30" customHeight="1" x14ac:dyDescent="0.25">
      <c r="A122" s="10" t="s">
        <v>83</v>
      </c>
      <c r="B122" s="87">
        <v>0.30399999999999999</v>
      </c>
      <c r="C122" s="87">
        <v>0.33600000000000002</v>
      </c>
      <c r="D122" s="110" t="s">
        <v>204</v>
      </c>
      <c r="E122" s="110" t="s">
        <v>203</v>
      </c>
      <c r="F122" s="13"/>
      <c r="G122" s="80"/>
    </row>
    <row r="123" spans="1:10" ht="16.5" customHeight="1" x14ac:dyDescent="0.25">
      <c r="A123" s="10" t="s">
        <v>73</v>
      </c>
      <c r="B123" s="87">
        <v>0.64200000000000002</v>
      </c>
      <c r="C123" s="87">
        <v>0.63</v>
      </c>
      <c r="D123" s="167">
        <v>0.67600000000000005</v>
      </c>
      <c r="E123" s="167">
        <v>0.60699999999999998</v>
      </c>
      <c r="F123" s="13"/>
      <c r="G123" s="80"/>
      <c r="H123" s="81"/>
      <c r="I123" s="81"/>
      <c r="J123" s="81"/>
    </row>
    <row r="124" spans="1:10" x14ac:dyDescent="0.25">
      <c r="B124" s="87"/>
      <c r="C124" s="87"/>
    </row>
    <row r="125" spans="1:10" ht="19.5" x14ac:dyDescent="0.3">
      <c r="A125" s="174" t="s">
        <v>74</v>
      </c>
      <c r="B125" s="175"/>
      <c r="C125" s="175"/>
      <c r="D125" s="175"/>
      <c r="E125" s="175"/>
      <c r="F125" s="175"/>
      <c r="G125" s="175"/>
    </row>
    <row r="126" spans="1:10" ht="39.75" customHeight="1" x14ac:dyDescent="0.25">
      <c r="A126" s="51" t="s">
        <v>89</v>
      </c>
      <c r="B126" s="5" t="s">
        <v>90</v>
      </c>
      <c r="C126" s="5" t="s">
        <v>91</v>
      </c>
      <c r="D126" s="5" t="s">
        <v>61</v>
      </c>
      <c r="E126" s="13"/>
      <c r="F126" s="13"/>
      <c r="G126" s="13"/>
    </row>
    <row r="127" spans="1:10" ht="15.75" customHeight="1" x14ac:dyDescent="0.25">
      <c r="A127" s="10" t="s">
        <v>74</v>
      </c>
      <c r="B127" s="167">
        <v>9.1999999999999998E-2</v>
      </c>
      <c r="C127" s="167">
        <v>0.104</v>
      </c>
      <c r="D127" s="167">
        <v>8.7999999999999995E-2</v>
      </c>
      <c r="E127" s="13"/>
      <c r="F127" s="13"/>
      <c r="G127" s="13"/>
      <c r="H127" s="135"/>
      <c r="I127" s="135"/>
      <c r="J127" s="135"/>
    </row>
    <row r="128" spans="1:10" ht="15" customHeight="1" x14ac:dyDescent="0.25">
      <c r="A128" s="186" t="s">
        <v>131</v>
      </c>
      <c r="B128" s="187"/>
      <c r="C128" s="187"/>
      <c r="D128" s="187"/>
      <c r="E128" s="187"/>
      <c r="F128" s="187"/>
      <c r="G128" s="188"/>
      <c r="H128" s="81"/>
      <c r="I128" s="81"/>
      <c r="J128" s="81"/>
    </row>
    <row r="129" spans="8:10" ht="15.75" customHeight="1" x14ac:dyDescent="0.25">
      <c r="H129" s="81"/>
      <c r="I129" s="81"/>
      <c r="J129" s="81"/>
    </row>
  </sheetData>
  <customSheetViews>
    <customSheetView guid="{7EBEC4A1-7860-4B15-928B-78DDE884C503}" showPageBreaks="1" fitToPage="1" printArea="1" topLeftCell="A31">
      <selection activeCell="B11" sqref="B11"/>
      <pageMargins left="0.45" right="0.45" top="0.4" bottom="0.4" header="0.3" footer="0.25"/>
      <printOptions horizontalCentered="1"/>
      <pageSetup scale="66" fitToHeight="2" orientation="portrait" r:id="rId1"/>
      <headerFooter>
        <oddFooter>Page &amp;P of &amp;N</oddFooter>
      </headerFooter>
    </customSheetView>
  </customSheetViews>
  <mergeCells count="37">
    <mergeCell ref="A41:G41"/>
    <mergeCell ref="A1:G1"/>
    <mergeCell ref="B3:D3"/>
    <mergeCell ref="A5:G5"/>
    <mergeCell ref="F12:G12"/>
    <mergeCell ref="A15:G15"/>
    <mergeCell ref="H20:J20"/>
    <mergeCell ref="H21:J21"/>
    <mergeCell ref="A128:G128"/>
    <mergeCell ref="B117:G117"/>
    <mergeCell ref="A68:G68"/>
    <mergeCell ref="A23:G23"/>
    <mergeCell ref="B28:E28"/>
    <mergeCell ref="A34:G34"/>
    <mergeCell ref="F35:F36"/>
    <mergeCell ref="G35:G36"/>
    <mergeCell ref="A36:D36"/>
    <mergeCell ref="A42:E42"/>
    <mergeCell ref="F42:F43"/>
    <mergeCell ref="G42:G43"/>
    <mergeCell ref="G69:G70"/>
    <mergeCell ref="A46:G46"/>
    <mergeCell ref="A49:G49"/>
    <mergeCell ref="E56:G56"/>
    <mergeCell ref="A125:G125"/>
    <mergeCell ref="F69:F70"/>
    <mergeCell ref="A70:E70"/>
    <mergeCell ref="A79:G79"/>
    <mergeCell ref="A88:G88"/>
    <mergeCell ref="A91:G91"/>
    <mergeCell ref="A77:G77"/>
    <mergeCell ref="A86:G86"/>
    <mergeCell ref="A97:G97"/>
    <mergeCell ref="F98:F99"/>
    <mergeCell ref="G98:G99"/>
    <mergeCell ref="A106:G106"/>
    <mergeCell ref="A119:G119"/>
  </mergeCells>
  <printOptions horizontalCentered="1"/>
  <pageMargins left="0.45" right="0.45" top="0.35" bottom="0.35" header="0.3" footer="0.15"/>
  <pageSetup scale="64" fitToHeight="2" orientation="portrait" r:id="rId2"/>
  <headerFooter>
    <oddFooter>&amp;L&amp;"Times New Roman,Regular"&amp;10&amp;F&amp;R&amp;"Times New Roman,Regular"&amp;10&amp;P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0"/>
  <sheetViews>
    <sheetView zoomScaleNormal="100" workbookViewId="0">
      <selection activeCell="A17" sqref="A17"/>
    </sheetView>
  </sheetViews>
  <sheetFormatPr defaultColWidth="8.85546875" defaultRowHeight="15" x14ac:dyDescent="0.25"/>
  <cols>
    <col min="1" max="1" width="29.7109375" style="3" customWidth="1"/>
    <col min="2" max="5" width="16" style="3" customWidth="1"/>
    <col min="6" max="6" width="16.28515625" style="3" customWidth="1"/>
    <col min="7" max="7" width="16" style="3" customWidth="1"/>
    <col min="8" max="16384" width="8.85546875" style="3"/>
  </cols>
  <sheetData>
    <row r="1" spans="1:7" s="24" customFormat="1" ht="20.25" x14ac:dyDescent="0.25">
      <c r="A1" s="198" t="s">
        <v>93</v>
      </c>
      <c r="B1" s="198"/>
      <c r="C1" s="198"/>
      <c r="D1" s="198"/>
      <c r="E1" s="198"/>
      <c r="F1" s="198"/>
      <c r="G1" s="198"/>
    </row>
    <row r="2" spans="1:7" s="6" customFormat="1" ht="20.25" x14ac:dyDescent="0.3">
      <c r="A2" s="207" t="s">
        <v>100</v>
      </c>
      <c r="B2" s="207"/>
      <c r="C2" s="207"/>
      <c r="D2" s="207"/>
      <c r="E2" s="207"/>
      <c r="F2" s="207"/>
      <c r="G2" s="207"/>
    </row>
    <row r="3" spans="1:7" s="6" customFormat="1" ht="21" thickBot="1" x14ac:dyDescent="0.35">
      <c r="A3" s="49"/>
      <c r="B3" s="49"/>
      <c r="C3" s="49"/>
      <c r="D3" s="49"/>
      <c r="E3" s="49"/>
      <c r="F3" s="49"/>
      <c r="G3" s="49"/>
    </row>
    <row r="4" spans="1:7" s="6" customFormat="1" ht="21" thickBot="1" x14ac:dyDescent="0.35">
      <c r="A4" s="211" t="s">
        <v>105</v>
      </c>
      <c r="B4" s="212"/>
      <c r="C4" s="212"/>
      <c r="D4" s="212"/>
      <c r="E4" s="212"/>
      <c r="F4" s="212"/>
      <c r="G4" s="213"/>
    </row>
    <row r="5" spans="1:7" s="6" customFormat="1" ht="20.25" x14ac:dyDescent="0.3">
      <c r="A5" s="49"/>
      <c r="B5" s="49"/>
      <c r="C5" s="49"/>
      <c r="D5" s="49"/>
      <c r="E5" s="49"/>
      <c r="F5" s="49"/>
      <c r="G5" s="49"/>
    </row>
    <row r="6" spans="1:7" s="7" customFormat="1" ht="18.75" x14ac:dyDescent="0.3">
      <c r="A6" s="7" t="s">
        <v>19</v>
      </c>
      <c r="B6" s="204" t="str">
        <f>'Trend Data '!B3:D3</f>
        <v>University of West Georgia</v>
      </c>
      <c r="C6" s="205"/>
      <c r="D6" s="205"/>
    </row>
    <row r="7" spans="1:7" s="7" customFormat="1" ht="18.75" x14ac:dyDescent="0.3">
      <c r="B7" s="45"/>
      <c r="C7" s="45"/>
      <c r="D7" s="45"/>
    </row>
    <row r="8" spans="1:7" s="4" customFormat="1" ht="19.5" x14ac:dyDescent="0.3">
      <c r="A8" s="183" t="s">
        <v>100</v>
      </c>
      <c r="B8" s="184"/>
      <c r="C8" s="184"/>
      <c r="D8" s="184"/>
      <c r="E8" s="184"/>
      <c r="F8" s="184"/>
      <c r="G8" s="184"/>
    </row>
    <row r="9" spans="1:7" s="4" customFormat="1" ht="33.6" customHeight="1" x14ac:dyDescent="0.3">
      <c r="A9" s="61" t="s">
        <v>101</v>
      </c>
      <c r="B9" s="61" t="s">
        <v>4</v>
      </c>
      <c r="C9" s="61" t="s">
        <v>5</v>
      </c>
      <c r="D9" s="61" t="s">
        <v>47</v>
      </c>
      <c r="E9" s="61" t="s">
        <v>108</v>
      </c>
      <c r="F9" s="61" t="s">
        <v>55</v>
      </c>
      <c r="G9" s="61" t="s">
        <v>92</v>
      </c>
    </row>
    <row r="10" spans="1:7" s="4" customFormat="1" ht="18.600000000000001" customHeight="1" x14ac:dyDescent="0.3">
      <c r="A10" s="54" t="s">
        <v>102</v>
      </c>
      <c r="B10" s="90">
        <v>1184</v>
      </c>
      <c r="C10" s="90">
        <v>1451</v>
      </c>
      <c r="D10" s="90">
        <v>1726</v>
      </c>
      <c r="E10" s="90">
        <v>1988</v>
      </c>
      <c r="F10" s="99">
        <v>2007.3</v>
      </c>
      <c r="G10" s="99">
        <v>2075.25</v>
      </c>
    </row>
    <row r="11" spans="1:7" s="4" customFormat="1" ht="18.600000000000001" customHeight="1" x14ac:dyDescent="0.3">
      <c r="A11" s="88" t="s">
        <v>176</v>
      </c>
      <c r="B11" s="90">
        <v>3136</v>
      </c>
      <c r="C11" s="89">
        <v>3064</v>
      </c>
      <c r="D11" s="89">
        <v>3376</v>
      </c>
      <c r="E11" s="90">
        <v>3993</v>
      </c>
      <c r="F11" s="99">
        <v>4014.6</v>
      </c>
      <c r="G11" s="99">
        <v>4150.5</v>
      </c>
    </row>
    <row r="12" spans="1:7" ht="18.600000000000001" customHeight="1" x14ac:dyDescent="0.3">
      <c r="A12" s="54" t="s">
        <v>177</v>
      </c>
      <c r="B12" s="33">
        <v>10081</v>
      </c>
      <c r="C12" s="33">
        <v>10004</v>
      </c>
      <c r="D12" s="33">
        <v>10101</v>
      </c>
      <c r="E12" s="33">
        <v>10234</v>
      </c>
      <c r="F12" s="33">
        <v>10705.6</v>
      </c>
      <c r="G12" s="33">
        <v>11068</v>
      </c>
    </row>
    <row r="13" spans="1:7" ht="18.600000000000001" customHeight="1" x14ac:dyDescent="0.3">
      <c r="A13" s="54" t="s">
        <v>178</v>
      </c>
      <c r="B13" s="33">
        <v>492</v>
      </c>
      <c r="C13" s="33">
        <v>499</v>
      </c>
      <c r="D13" s="33">
        <v>440</v>
      </c>
      <c r="E13" s="33">
        <v>707</v>
      </c>
      <c r="F13" s="33">
        <v>802.92</v>
      </c>
      <c r="G13" s="33">
        <v>830.1</v>
      </c>
    </row>
    <row r="14" spans="1:7" ht="18.600000000000001" customHeight="1" x14ac:dyDescent="0.3">
      <c r="A14" s="54" t="s">
        <v>179</v>
      </c>
      <c r="B14" s="33">
        <v>183</v>
      </c>
      <c r="C14" s="33">
        <v>195</v>
      </c>
      <c r="D14" s="33">
        <v>119</v>
      </c>
      <c r="E14" s="33">
        <v>93</v>
      </c>
      <c r="F14" s="33">
        <v>163.57859832105817</v>
      </c>
      <c r="G14" s="33">
        <v>169.11596979314302</v>
      </c>
    </row>
    <row r="15" spans="1:7" ht="18.600000000000001" customHeight="1" x14ac:dyDescent="0.3">
      <c r="A15" s="54" t="s">
        <v>180</v>
      </c>
      <c r="B15" s="33"/>
      <c r="C15" s="33"/>
      <c r="D15" s="33"/>
      <c r="E15" s="33"/>
      <c r="F15" s="33"/>
      <c r="G15" s="33"/>
    </row>
    <row r="16" spans="1:7" ht="18.600000000000001" customHeight="1" x14ac:dyDescent="0.3">
      <c r="A16" s="54"/>
      <c r="B16" s="33"/>
      <c r="C16" s="33"/>
      <c r="D16" s="33"/>
      <c r="E16" s="33"/>
      <c r="F16" s="33"/>
      <c r="G16" s="33"/>
    </row>
    <row r="17" spans="1:7" ht="18.600000000000001" customHeight="1" x14ac:dyDescent="0.3">
      <c r="A17" s="54"/>
      <c r="B17" s="33"/>
      <c r="C17" s="33"/>
      <c r="D17" s="33"/>
      <c r="E17" s="33"/>
      <c r="F17" s="33"/>
      <c r="G17" s="33"/>
    </row>
    <row r="18" spans="1:7" ht="18.600000000000001" customHeight="1" x14ac:dyDescent="0.3">
      <c r="A18" s="62" t="s">
        <v>104</v>
      </c>
      <c r="B18" s="33">
        <f>SUM(B10:B17)</f>
        <v>15076</v>
      </c>
      <c r="C18" s="33">
        <f t="shared" ref="C18:G18" si="0">SUM(C10:C17)</f>
        <v>15213</v>
      </c>
      <c r="D18" s="33">
        <f t="shared" si="0"/>
        <v>15762</v>
      </c>
      <c r="E18" s="33">
        <f t="shared" si="0"/>
        <v>17015</v>
      </c>
      <c r="F18" s="33">
        <f t="shared" si="0"/>
        <v>17693.998598321057</v>
      </c>
      <c r="G18" s="33">
        <f t="shared" si="0"/>
        <v>18292.965969793142</v>
      </c>
    </row>
    <row r="19" spans="1:7" ht="18.600000000000001" customHeight="1" x14ac:dyDescent="0.3">
      <c r="A19" s="208" t="s">
        <v>103</v>
      </c>
      <c r="B19" s="209"/>
      <c r="C19" s="209"/>
      <c r="D19" s="209"/>
      <c r="E19" s="209"/>
      <c r="F19" s="209"/>
      <c r="G19" s="210"/>
    </row>
    <row r="20" spans="1:7" ht="18.600000000000001" customHeight="1" x14ac:dyDescent="0.25">
      <c r="A20" s="206"/>
      <c r="B20" s="206"/>
      <c r="C20" s="206"/>
      <c r="D20" s="206"/>
      <c r="E20" s="206"/>
      <c r="F20" s="206"/>
      <c r="G20" s="206"/>
    </row>
  </sheetData>
  <customSheetViews>
    <customSheetView guid="{7EBEC4A1-7860-4B15-928B-78DDE884C503}" showPageBreaks="1" fitToPage="1" printArea="1" topLeftCell="A6">
      <selection activeCell="B10" sqref="B10:E10"/>
      <pageMargins left="0.45" right="0.45" top="0.45" bottom="0.45" header="0.3" footer="0.25"/>
      <printOptions horizontalCentered="1"/>
      <pageSetup scale="79" fitToHeight="2" orientation="portrait" r:id="rId1"/>
      <headerFooter>
        <oddFooter>Page &amp;P of &amp;N</oddFooter>
      </headerFooter>
    </customSheetView>
  </customSheetViews>
  <mergeCells count="7">
    <mergeCell ref="A1:G1"/>
    <mergeCell ref="B6:D6"/>
    <mergeCell ref="A8:G8"/>
    <mergeCell ref="A20:G20"/>
    <mergeCell ref="A2:G2"/>
    <mergeCell ref="A19:G19"/>
    <mergeCell ref="A4:G4"/>
  </mergeCells>
  <printOptions horizontalCentered="1"/>
  <pageMargins left="0.45" right="0.45" top="0.45" bottom="0.45" header="0.3" footer="0.25"/>
  <pageSetup scale="76" fitToHeight="2" orientation="portrait" r:id="rId2"/>
  <headerFooter>
    <oddFooter>&amp;L&amp;"Times New Roman,Regular"&amp;10&amp;F&amp;R&amp;"Times New Roman,Regular"&amp;10&amp;P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F19"/>
  <sheetViews>
    <sheetView zoomScaleNormal="100" workbookViewId="0">
      <selection activeCell="B10" sqref="B10"/>
    </sheetView>
  </sheetViews>
  <sheetFormatPr defaultColWidth="8.85546875" defaultRowHeight="15" x14ac:dyDescent="0.25"/>
  <cols>
    <col min="1" max="1" width="32.7109375" style="3" bestFit="1" customWidth="1"/>
    <col min="2" max="6" width="16.5703125" style="3" customWidth="1"/>
    <col min="7" max="16384" width="8.85546875" style="3"/>
  </cols>
  <sheetData>
    <row r="1" spans="1:6" ht="20.25" customHeight="1" x14ac:dyDescent="0.25">
      <c r="A1" s="198" t="s">
        <v>93</v>
      </c>
      <c r="B1" s="198"/>
      <c r="C1" s="198"/>
      <c r="D1" s="198"/>
      <c r="E1" s="198"/>
      <c r="F1" s="198"/>
    </row>
    <row r="2" spans="1:6" ht="20.25" x14ac:dyDescent="0.3">
      <c r="A2" s="207" t="s">
        <v>135</v>
      </c>
      <c r="B2" s="207"/>
      <c r="C2" s="207"/>
      <c r="D2" s="207"/>
      <c r="E2" s="207"/>
      <c r="F2" s="207"/>
    </row>
    <row r="3" spans="1:6" ht="20.25" x14ac:dyDescent="0.3">
      <c r="A3" s="73"/>
      <c r="B3" s="73"/>
      <c r="C3" s="73"/>
      <c r="D3" s="73"/>
      <c r="E3" s="73"/>
    </row>
    <row r="4" spans="1:6" ht="20.25" x14ac:dyDescent="0.3">
      <c r="A4" s="73"/>
      <c r="B4" s="73"/>
      <c r="C4" s="73"/>
      <c r="D4" s="73"/>
      <c r="E4" s="73"/>
    </row>
    <row r="5" spans="1:6" ht="18.75" x14ac:dyDescent="0.3">
      <c r="A5" s="7" t="s">
        <v>19</v>
      </c>
      <c r="B5" s="204" t="str">
        <f>'Trend Data '!B3:D3</f>
        <v>University of West Georgia</v>
      </c>
      <c r="C5" s="205"/>
      <c r="D5" s="205"/>
      <c r="E5" s="7"/>
    </row>
    <row r="6" spans="1:6" ht="18.75" x14ac:dyDescent="0.3">
      <c r="A6" s="7"/>
      <c r="B6" s="45"/>
      <c r="C6" s="45"/>
      <c r="D6" s="45"/>
      <c r="E6" s="7"/>
    </row>
    <row r="7" spans="1:6" ht="19.5" x14ac:dyDescent="0.3">
      <c r="A7" s="183" t="s">
        <v>136</v>
      </c>
      <c r="B7" s="184"/>
      <c r="C7" s="184"/>
      <c r="D7" s="184"/>
      <c r="E7" s="184"/>
      <c r="F7" s="184"/>
    </row>
    <row r="8" spans="1:6" ht="18.75" x14ac:dyDescent="0.25">
      <c r="A8" s="61" t="s">
        <v>141</v>
      </c>
      <c r="B8" s="61" t="s">
        <v>129</v>
      </c>
      <c r="C8" s="61" t="s">
        <v>137</v>
      </c>
      <c r="D8" s="61" t="s">
        <v>138</v>
      </c>
      <c r="E8" s="61" t="s">
        <v>139</v>
      </c>
      <c r="F8" s="61" t="s">
        <v>140</v>
      </c>
    </row>
    <row r="9" spans="1:6" ht="18.75" x14ac:dyDescent="0.3">
      <c r="A9" s="54" t="s">
        <v>142</v>
      </c>
      <c r="B9" s="96" t="s">
        <v>181</v>
      </c>
      <c r="C9" s="97" t="s">
        <v>181</v>
      </c>
      <c r="D9" s="97" t="s">
        <v>181</v>
      </c>
      <c r="E9" s="97" t="s">
        <v>181</v>
      </c>
      <c r="F9" s="97" t="s">
        <v>181</v>
      </c>
    </row>
    <row r="10" spans="1:6" ht="19.5" customHeight="1" x14ac:dyDescent="0.3">
      <c r="A10" s="54" t="s">
        <v>143</v>
      </c>
      <c r="B10" s="96" t="s">
        <v>181</v>
      </c>
      <c r="C10" s="97" t="s">
        <v>181</v>
      </c>
      <c r="D10" s="97" t="s">
        <v>181</v>
      </c>
      <c r="E10" s="97" t="s">
        <v>181</v>
      </c>
      <c r="F10" s="97" t="s">
        <v>181</v>
      </c>
    </row>
    <row r="11" spans="1:6" ht="18.75" customHeight="1" x14ac:dyDescent="0.3">
      <c r="A11" s="54" t="s">
        <v>145</v>
      </c>
      <c r="B11" s="97" t="s">
        <v>181</v>
      </c>
      <c r="C11" s="97" t="s">
        <v>181</v>
      </c>
      <c r="D11" s="97" t="s">
        <v>181</v>
      </c>
      <c r="E11" s="97" t="s">
        <v>181</v>
      </c>
      <c r="F11" s="97" t="s">
        <v>181</v>
      </c>
    </row>
    <row r="12" spans="1:6" ht="19.5" customHeight="1" x14ac:dyDescent="0.3">
      <c r="A12" s="54" t="s">
        <v>144</v>
      </c>
      <c r="B12" s="97" t="s">
        <v>181</v>
      </c>
      <c r="C12" s="97" t="s">
        <v>181</v>
      </c>
      <c r="D12" s="97" t="s">
        <v>181</v>
      </c>
      <c r="E12" s="97" t="s">
        <v>181</v>
      </c>
      <c r="F12" s="97" t="s">
        <v>181</v>
      </c>
    </row>
    <row r="13" spans="1:6" ht="18.75" x14ac:dyDescent="0.3">
      <c r="A13" s="54" t="s">
        <v>182</v>
      </c>
      <c r="B13" s="97" t="s">
        <v>181</v>
      </c>
      <c r="C13" s="97" t="s">
        <v>181</v>
      </c>
      <c r="D13" s="97" t="s">
        <v>181</v>
      </c>
      <c r="E13" s="97" t="s">
        <v>181</v>
      </c>
      <c r="F13" s="97" t="s">
        <v>181</v>
      </c>
    </row>
    <row r="14" spans="1:6" ht="18.75" x14ac:dyDescent="0.3">
      <c r="A14" s="54" t="s">
        <v>183</v>
      </c>
      <c r="B14" s="97" t="s">
        <v>184</v>
      </c>
      <c r="C14" s="97" t="s">
        <v>184</v>
      </c>
      <c r="D14" s="97" t="s">
        <v>184</v>
      </c>
      <c r="E14" s="97" t="s">
        <v>184</v>
      </c>
      <c r="F14" s="97" t="s">
        <v>184</v>
      </c>
    </row>
    <row r="15" spans="1:6" ht="18.75" x14ac:dyDescent="0.3">
      <c r="A15" s="54"/>
      <c r="B15" s="54"/>
      <c r="C15" s="54"/>
      <c r="D15" s="54"/>
      <c r="E15" s="54"/>
      <c r="F15" s="54"/>
    </row>
    <row r="16" spans="1:6" ht="18.75" x14ac:dyDescent="0.3">
      <c r="A16" s="75"/>
      <c r="B16" s="75"/>
      <c r="C16" s="75"/>
      <c r="D16" s="75"/>
      <c r="E16" s="75"/>
      <c r="F16" s="75"/>
    </row>
    <row r="17" spans="1:6" ht="18.75" x14ac:dyDescent="0.3">
      <c r="A17" s="4"/>
      <c r="B17" s="4"/>
      <c r="C17" s="4"/>
      <c r="D17" s="4"/>
      <c r="E17" s="4"/>
      <c r="F17" s="4"/>
    </row>
    <row r="18" spans="1:6" ht="81.75" customHeight="1" x14ac:dyDescent="0.25">
      <c r="A18" s="214" t="s">
        <v>146</v>
      </c>
      <c r="B18" s="214"/>
      <c r="C18" s="214"/>
      <c r="D18" s="214"/>
      <c r="E18" s="214"/>
      <c r="F18" s="215"/>
    </row>
    <row r="19" spans="1:6" ht="253.15" customHeight="1" x14ac:dyDescent="0.25">
      <c r="A19" s="216" t="s">
        <v>185</v>
      </c>
      <c r="B19" s="216"/>
      <c r="C19" s="216"/>
      <c r="D19" s="216"/>
      <c r="E19" s="216"/>
      <c r="F19" s="216"/>
    </row>
  </sheetData>
  <mergeCells count="6">
    <mergeCell ref="A1:F1"/>
    <mergeCell ref="A18:F18"/>
    <mergeCell ref="A19:F19"/>
    <mergeCell ref="B5:D5"/>
    <mergeCell ref="A7:F7"/>
    <mergeCell ref="A2:F2"/>
  </mergeCells>
  <printOptions horizontalCentered="1"/>
  <pageMargins left="0.45" right="0.45" top="0.5" bottom="0.5" header="0.3" footer="0.3"/>
  <pageSetup scale="83" orientation="portrait" r:id="rId1"/>
  <headerFooter>
    <oddFooter>&amp;L&amp;"Times New Roman,Regular"&amp;10&amp;F&amp;R&amp;"Times New Roman,Regular"&amp;10&amp;P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33"/>
  <sheetViews>
    <sheetView zoomScale="90" zoomScaleNormal="90" workbookViewId="0">
      <selection activeCell="A20" sqref="A20"/>
    </sheetView>
  </sheetViews>
  <sheetFormatPr defaultColWidth="8.85546875" defaultRowHeight="15" x14ac:dyDescent="0.25"/>
  <cols>
    <col min="1" max="1" width="29.7109375" style="3" customWidth="1"/>
    <col min="2" max="2" width="10.140625" style="3" customWidth="1"/>
    <col min="3" max="3" width="19.42578125" style="3" customWidth="1"/>
    <col min="4" max="4" width="19.7109375" style="3" customWidth="1"/>
    <col min="5" max="5" width="20.42578125" style="3" customWidth="1"/>
    <col min="6" max="7" width="19.7109375" style="3" customWidth="1"/>
    <col min="8" max="8" width="18.140625" style="3" customWidth="1"/>
    <col min="9" max="9" width="18.42578125" style="3" customWidth="1"/>
    <col min="10" max="10" width="16.7109375" style="3" customWidth="1"/>
    <col min="11" max="16384" width="8.85546875" style="3"/>
  </cols>
  <sheetData>
    <row r="1" spans="1:9" ht="20.25" customHeight="1" x14ac:dyDescent="0.25">
      <c r="A1" s="198" t="s">
        <v>93</v>
      </c>
      <c r="B1" s="198"/>
      <c r="C1" s="198"/>
      <c r="D1" s="198"/>
      <c r="E1" s="198"/>
      <c r="F1" s="198"/>
      <c r="G1" s="198"/>
      <c r="H1" s="198"/>
      <c r="I1" s="198"/>
    </row>
    <row r="2" spans="1:9" ht="20.25" x14ac:dyDescent="0.3">
      <c r="A2" s="207" t="s">
        <v>147</v>
      </c>
      <c r="B2" s="207"/>
      <c r="C2" s="207"/>
      <c r="D2" s="207"/>
      <c r="E2" s="207"/>
      <c r="F2" s="207"/>
      <c r="G2" s="207"/>
      <c r="H2" s="207"/>
      <c r="I2" s="207"/>
    </row>
    <row r="3" spans="1:9" ht="20.25" x14ac:dyDescent="0.3">
      <c r="A3" s="74"/>
      <c r="B3" s="74"/>
      <c r="C3" s="74"/>
      <c r="D3" s="74"/>
      <c r="E3" s="74"/>
      <c r="F3" s="74"/>
      <c r="G3" s="117"/>
      <c r="H3" s="74"/>
    </row>
    <row r="4" spans="1:9" ht="20.25" x14ac:dyDescent="0.3">
      <c r="A4" s="74"/>
      <c r="B4" s="74"/>
      <c r="C4" s="74"/>
      <c r="D4" s="74"/>
      <c r="E4" s="74"/>
      <c r="F4" s="74"/>
      <c r="G4" s="74"/>
      <c r="H4" s="74"/>
    </row>
    <row r="5" spans="1:9" ht="18.75" x14ac:dyDescent="0.3">
      <c r="A5" s="7" t="s">
        <v>19</v>
      </c>
      <c r="B5" s="78" t="str">
        <f>'Trend Data '!B3:D3</f>
        <v>University of West Georgia</v>
      </c>
      <c r="C5" s="79"/>
      <c r="D5" s="79"/>
      <c r="F5" s="7"/>
      <c r="G5" s="7"/>
      <c r="H5" s="7"/>
    </row>
    <row r="6" spans="1:9" ht="18.75" x14ac:dyDescent="0.3">
      <c r="A6" s="7"/>
      <c r="B6" s="7"/>
      <c r="C6" s="45"/>
      <c r="D6" s="45"/>
      <c r="E6" s="45"/>
      <c r="F6" s="7"/>
      <c r="G6" s="7"/>
      <c r="H6" s="7"/>
    </row>
    <row r="7" spans="1:9" ht="18.75" customHeight="1" x14ac:dyDescent="0.25">
      <c r="A7" s="217" t="s">
        <v>169</v>
      </c>
      <c r="B7" s="218"/>
      <c r="C7" s="218"/>
      <c r="D7" s="218"/>
      <c r="E7" s="218"/>
      <c r="F7" s="218"/>
      <c r="G7" s="218"/>
      <c r="H7" s="218"/>
      <c r="I7" s="219"/>
    </row>
    <row r="8" spans="1:9" ht="19.5" x14ac:dyDescent="0.3">
      <c r="A8" s="183" t="s">
        <v>160</v>
      </c>
      <c r="B8" s="184"/>
      <c r="C8" s="184"/>
      <c r="D8" s="184"/>
      <c r="E8" s="184"/>
      <c r="F8" s="184"/>
      <c r="G8" s="184"/>
      <c r="H8" s="184"/>
      <c r="I8" s="184"/>
    </row>
    <row r="9" spans="1:9" ht="69.75" x14ac:dyDescent="0.3">
      <c r="A9" s="76" t="s">
        <v>164</v>
      </c>
      <c r="B9" s="76" t="s">
        <v>150</v>
      </c>
      <c r="C9" s="76" t="s">
        <v>148</v>
      </c>
      <c r="D9" s="76" t="s">
        <v>207</v>
      </c>
      <c r="E9" s="76" t="s">
        <v>152</v>
      </c>
      <c r="F9" s="76" t="s">
        <v>153</v>
      </c>
      <c r="G9" s="76" t="s">
        <v>166</v>
      </c>
      <c r="H9" s="76" t="s">
        <v>149</v>
      </c>
      <c r="I9" s="82" t="s">
        <v>154</v>
      </c>
    </row>
    <row r="10" spans="1:9" ht="18.75" x14ac:dyDescent="0.25">
      <c r="A10" s="108" t="s">
        <v>157</v>
      </c>
      <c r="B10" s="106">
        <v>12210</v>
      </c>
      <c r="C10" s="131">
        <v>-1302874</v>
      </c>
      <c r="D10" s="131">
        <f>+C10+29511921</f>
        <v>28209047</v>
      </c>
      <c r="E10" s="132">
        <v>17507716</v>
      </c>
      <c r="F10" s="132">
        <v>19278550</v>
      </c>
      <c r="G10" s="132">
        <v>0</v>
      </c>
      <c r="H10" s="132">
        <v>3201444</v>
      </c>
      <c r="I10" s="83"/>
    </row>
    <row r="11" spans="1:9" ht="19.5" customHeight="1" x14ac:dyDescent="0.25">
      <c r="A11" s="108" t="s">
        <v>189</v>
      </c>
      <c r="B11" s="106">
        <v>12220</v>
      </c>
      <c r="C11" s="131">
        <v>7373786</v>
      </c>
      <c r="D11" s="131">
        <f>+C11+7125598</f>
        <v>14499384</v>
      </c>
      <c r="E11" s="132">
        <v>8671225</v>
      </c>
      <c r="F11" s="132">
        <v>9410030</v>
      </c>
      <c r="G11" s="132">
        <v>0</v>
      </c>
      <c r="H11" s="132">
        <v>60900</v>
      </c>
      <c r="I11" s="85"/>
    </row>
    <row r="12" spans="1:9" ht="18.75" customHeight="1" x14ac:dyDescent="0.3">
      <c r="A12" s="108" t="s">
        <v>190</v>
      </c>
      <c r="B12" s="106">
        <v>12230</v>
      </c>
      <c r="C12" s="133">
        <v>2731368</v>
      </c>
      <c r="D12" s="131">
        <f>+C12+832992</f>
        <v>3564360</v>
      </c>
      <c r="E12" s="134">
        <v>3798441</v>
      </c>
      <c r="F12" s="134">
        <v>3975939</v>
      </c>
      <c r="G12" s="132">
        <v>0</v>
      </c>
      <c r="H12" s="132">
        <v>85396</v>
      </c>
      <c r="I12" s="86"/>
    </row>
    <row r="13" spans="1:9" ht="19.5" customHeight="1" x14ac:dyDescent="0.3">
      <c r="A13" s="109" t="s">
        <v>158</v>
      </c>
      <c r="B13" s="107">
        <v>12240</v>
      </c>
      <c r="C13" s="133">
        <v>1549385</v>
      </c>
      <c r="D13" s="131">
        <f>+C13+537728</f>
        <v>2087113</v>
      </c>
      <c r="E13" s="134">
        <v>2214185</v>
      </c>
      <c r="F13" s="134">
        <v>2178819</v>
      </c>
      <c r="G13" s="132">
        <v>0</v>
      </c>
      <c r="H13" s="132">
        <v>0</v>
      </c>
      <c r="I13" s="86"/>
    </row>
    <row r="14" spans="1:9" ht="18.75" x14ac:dyDescent="0.3">
      <c r="A14" s="109" t="s">
        <v>159</v>
      </c>
      <c r="B14" s="107">
        <v>12250</v>
      </c>
      <c r="C14" s="133">
        <v>2807599</v>
      </c>
      <c r="D14" s="131">
        <f>+C14+2754209</f>
        <v>5561808</v>
      </c>
      <c r="E14" s="134">
        <v>1353605</v>
      </c>
      <c r="F14" s="134">
        <v>1849433</v>
      </c>
      <c r="G14" s="132">
        <v>0</v>
      </c>
      <c r="H14" s="132">
        <v>0</v>
      </c>
      <c r="I14" s="84"/>
    </row>
    <row r="15" spans="1:9" ht="18.75" x14ac:dyDescent="0.3">
      <c r="A15" s="109" t="s">
        <v>191</v>
      </c>
      <c r="B15" s="107">
        <v>12270</v>
      </c>
      <c r="C15" s="133">
        <v>4298923</v>
      </c>
      <c r="D15" s="131">
        <f>+C15+285114</f>
        <v>4584037</v>
      </c>
      <c r="E15" s="134">
        <v>380378</v>
      </c>
      <c r="F15" s="134">
        <v>1046705</v>
      </c>
      <c r="G15" s="132">
        <v>0</v>
      </c>
      <c r="H15" s="132">
        <v>0</v>
      </c>
      <c r="I15" s="84"/>
    </row>
    <row r="16" spans="1:9" ht="18.75" x14ac:dyDescent="0.3">
      <c r="A16" s="109" t="s">
        <v>192</v>
      </c>
      <c r="B16" s="109">
        <v>13000</v>
      </c>
      <c r="C16" s="129">
        <v>-4139876</v>
      </c>
      <c r="D16" s="131">
        <f>+C16+45634+7510124</f>
        <v>3415882</v>
      </c>
      <c r="E16" s="130">
        <v>2296613</v>
      </c>
      <c r="F16" s="130">
        <v>2451194</v>
      </c>
      <c r="G16" s="132">
        <v>0</v>
      </c>
      <c r="H16" s="132">
        <v>610263</v>
      </c>
      <c r="I16" s="84"/>
    </row>
    <row r="17" spans="1:9" ht="18.75" x14ac:dyDescent="0.3">
      <c r="A17" s="32" t="s">
        <v>193</v>
      </c>
      <c r="B17" s="32">
        <v>13000</v>
      </c>
      <c r="C17" s="129">
        <v>829599</v>
      </c>
      <c r="D17" s="131">
        <f>+C17+209+56268</f>
        <v>886076</v>
      </c>
      <c r="E17" s="130">
        <v>1582879</v>
      </c>
      <c r="F17" s="130">
        <v>1603154</v>
      </c>
      <c r="G17" s="132">
        <v>0</v>
      </c>
      <c r="H17" s="132">
        <v>0</v>
      </c>
      <c r="I17" s="84"/>
    </row>
    <row r="18" spans="1:9" ht="18.75" x14ac:dyDescent="0.3">
      <c r="A18" s="54"/>
      <c r="B18" s="54"/>
      <c r="C18" s="54"/>
      <c r="D18" s="54"/>
      <c r="E18" s="54"/>
      <c r="F18" s="54"/>
      <c r="G18" s="54"/>
      <c r="H18" s="54"/>
      <c r="I18" s="84"/>
    </row>
    <row r="19" spans="1:9" ht="18.75" x14ac:dyDescent="0.3">
      <c r="A19" s="54"/>
      <c r="B19" s="54"/>
      <c r="C19" s="54"/>
      <c r="D19" s="54"/>
      <c r="E19" s="54"/>
      <c r="F19" s="54"/>
      <c r="G19" s="54"/>
      <c r="H19" s="54"/>
      <c r="I19" s="84"/>
    </row>
    <row r="20" spans="1:9" ht="18.75" x14ac:dyDescent="0.3">
      <c r="A20" s="75"/>
      <c r="B20" s="75"/>
      <c r="C20" s="75"/>
      <c r="D20" s="75"/>
      <c r="E20" s="75"/>
      <c r="F20" s="75"/>
      <c r="G20" s="75"/>
      <c r="H20" s="75"/>
      <c r="I20" s="75"/>
    </row>
    <row r="21" spans="1:9" ht="18.75" customHeight="1" x14ac:dyDescent="0.25">
      <c r="A21" s="217" t="s">
        <v>162</v>
      </c>
      <c r="B21" s="218"/>
      <c r="C21" s="218"/>
      <c r="D21" s="218"/>
      <c r="E21" s="218"/>
      <c r="F21" s="218"/>
      <c r="G21" s="218"/>
      <c r="H21" s="218"/>
      <c r="I21" s="219"/>
    </row>
    <row r="22" spans="1:9" ht="19.5" x14ac:dyDescent="0.3">
      <c r="A22" s="183" t="s">
        <v>161</v>
      </c>
      <c r="B22" s="184"/>
      <c r="C22" s="184"/>
      <c r="D22" s="184"/>
      <c r="E22" s="184"/>
      <c r="F22" s="184"/>
      <c r="G22" s="184"/>
      <c r="H22" s="184"/>
      <c r="I22" s="184"/>
    </row>
    <row r="23" spans="1:9" ht="93.75" x14ac:dyDescent="0.3">
      <c r="A23" s="76" t="s">
        <v>163</v>
      </c>
      <c r="B23" s="76" t="s">
        <v>150</v>
      </c>
      <c r="C23" s="76" t="s">
        <v>148</v>
      </c>
      <c r="D23" s="76" t="s">
        <v>156</v>
      </c>
      <c r="E23" s="76" t="s">
        <v>152</v>
      </c>
      <c r="F23" s="76" t="s">
        <v>153</v>
      </c>
      <c r="G23" s="76" t="s">
        <v>155</v>
      </c>
      <c r="H23" s="76" t="s">
        <v>149</v>
      </c>
      <c r="I23" s="76" t="s">
        <v>151</v>
      </c>
    </row>
    <row r="24" spans="1:9" ht="18.75" x14ac:dyDescent="0.3">
      <c r="A24" s="32" t="s">
        <v>194</v>
      </c>
      <c r="B24" s="32">
        <v>12210</v>
      </c>
      <c r="C24" s="129">
        <v>-595407</v>
      </c>
      <c r="D24" s="129">
        <f>+C24+1292+3479309</f>
        <v>2885194</v>
      </c>
      <c r="E24" s="130">
        <v>1788268</v>
      </c>
      <c r="F24" s="130">
        <v>2259982</v>
      </c>
      <c r="G24" s="130">
        <v>0</v>
      </c>
      <c r="H24" s="130">
        <v>196716</v>
      </c>
      <c r="I24" s="54" t="s">
        <v>205</v>
      </c>
    </row>
    <row r="25" spans="1:9" ht="18.75" x14ac:dyDescent="0.3">
      <c r="A25" s="32" t="s">
        <v>195</v>
      </c>
      <c r="B25" s="32">
        <v>12210</v>
      </c>
      <c r="C25" s="129">
        <v>1792250</v>
      </c>
      <c r="D25" s="129">
        <f>+C25+2063+6205917</f>
        <v>8000230</v>
      </c>
      <c r="E25" s="130">
        <v>3268472</v>
      </c>
      <c r="F25" s="130">
        <v>2331723</v>
      </c>
      <c r="G25" s="130">
        <v>0</v>
      </c>
      <c r="H25" s="130">
        <v>1224992</v>
      </c>
      <c r="I25" s="54" t="s">
        <v>206</v>
      </c>
    </row>
    <row r="26" spans="1:9" ht="18.75" customHeight="1" x14ac:dyDescent="0.3">
      <c r="A26" s="32" t="s">
        <v>196</v>
      </c>
      <c r="B26" s="32">
        <v>12210</v>
      </c>
      <c r="C26" s="129">
        <v>-2282246</v>
      </c>
      <c r="D26" s="129">
        <f>+C26+127125+7335497</f>
        <v>5180376</v>
      </c>
      <c r="E26" s="130">
        <v>3384013</v>
      </c>
      <c r="F26" s="130">
        <v>3319787</v>
      </c>
      <c r="G26" s="130">
        <v>0</v>
      </c>
      <c r="H26" s="130">
        <v>1179386</v>
      </c>
      <c r="I26" s="54" t="s">
        <v>205</v>
      </c>
    </row>
    <row r="27" spans="1:9" ht="18.75" customHeight="1" x14ac:dyDescent="0.3">
      <c r="A27" s="32" t="s">
        <v>197</v>
      </c>
      <c r="B27" s="32">
        <v>12210</v>
      </c>
      <c r="C27" s="129">
        <v>770211</v>
      </c>
      <c r="D27" s="129">
        <f>+C27+800+2423657</f>
        <v>3194668</v>
      </c>
      <c r="E27" s="130">
        <v>3441352</v>
      </c>
      <c r="F27" s="130">
        <v>3185607</v>
      </c>
      <c r="G27" s="130">
        <v>0</v>
      </c>
      <c r="H27" s="130">
        <v>322992</v>
      </c>
      <c r="I27" s="54" t="s">
        <v>206</v>
      </c>
    </row>
    <row r="28" spans="1:9" ht="19.5" customHeight="1" x14ac:dyDescent="0.3">
      <c r="A28" s="32" t="s">
        <v>198</v>
      </c>
      <c r="B28" s="32">
        <v>12250</v>
      </c>
      <c r="C28" s="129">
        <v>-85302</v>
      </c>
      <c r="D28" s="129">
        <f>+C28+1123117</f>
        <v>1037815</v>
      </c>
      <c r="E28" s="130">
        <v>296554</v>
      </c>
      <c r="F28" s="130">
        <v>460166</v>
      </c>
      <c r="G28" s="130">
        <v>0</v>
      </c>
      <c r="H28" s="130">
        <v>0</v>
      </c>
      <c r="I28" s="54" t="s">
        <v>206</v>
      </c>
    </row>
    <row r="29" spans="1:9" ht="18.75" x14ac:dyDescent="0.3">
      <c r="A29" s="32" t="s">
        <v>199</v>
      </c>
      <c r="B29" s="32">
        <v>12280</v>
      </c>
      <c r="C29" s="129">
        <v>-2184277</v>
      </c>
      <c r="D29" s="129">
        <f>+C29+186516+31872+3729954</f>
        <v>1764065</v>
      </c>
      <c r="E29" s="130">
        <v>1843860</v>
      </c>
      <c r="F29" s="130">
        <v>2746909</v>
      </c>
      <c r="G29" s="130">
        <v>0</v>
      </c>
      <c r="H29" s="130">
        <v>204654</v>
      </c>
      <c r="I29" s="54" t="s">
        <v>205</v>
      </c>
    </row>
    <row r="30" spans="1:9" ht="18.75" x14ac:dyDescent="0.3">
      <c r="A30" s="32" t="s">
        <v>192</v>
      </c>
      <c r="B30" s="32">
        <v>13000</v>
      </c>
      <c r="C30" s="129">
        <v>-4139876</v>
      </c>
      <c r="D30" s="129">
        <f>+C30+45634+7510124</f>
        <v>3415882</v>
      </c>
      <c r="E30" s="130">
        <v>2296613</v>
      </c>
      <c r="F30" s="130">
        <v>2451194</v>
      </c>
      <c r="G30" s="130">
        <v>0</v>
      </c>
      <c r="H30" s="130">
        <v>610263</v>
      </c>
      <c r="I30" s="54" t="s">
        <v>205</v>
      </c>
    </row>
    <row r="31" spans="1:9" ht="18.75" x14ac:dyDescent="0.3">
      <c r="A31" s="32" t="s">
        <v>190</v>
      </c>
      <c r="B31" s="32">
        <v>12230</v>
      </c>
      <c r="C31" s="129">
        <v>56957</v>
      </c>
      <c r="D31" s="129">
        <f>+C31+767723</f>
        <v>824680</v>
      </c>
      <c r="E31" s="130">
        <v>469510</v>
      </c>
      <c r="F31" s="130">
        <v>523228</v>
      </c>
      <c r="G31" s="130">
        <v>0</v>
      </c>
      <c r="H31" s="130">
        <v>85396</v>
      </c>
      <c r="I31" s="54" t="s">
        <v>205</v>
      </c>
    </row>
    <row r="32" spans="1:9" ht="18.75" x14ac:dyDescent="0.3">
      <c r="A32" s="32" t="s">
        <v>200</v>
      </c>
      <c r="B32" s="32">
        <v>12210</v>
      </c>
      <c r="C32" s="129">
        <v>589303</v>
      </c>
      <c r="D32" s="129">
        <f>+C32+3153+577900+8353+1354426</f>
        <v>2533135</v>
      </c>
      <c r="E32" s="130">
        <v>4064011</v>
      </c>
      <c r="F32" s="130">
        <v>4026612</v>
      </c>
      <c r="G32" s="130">
        <v>0</v>
      </c>
      <c r="H32" s="130">
        <v>277358</v>
      </c>
      <c r="I32" s="54" t="s">
        <v>206</v>
      </c>
    </row>
    <row r="33" spans="1:9" ht="18.75" x14ac:dyDescent="0.3">
      <c r="A33" s="32" t="s">
        <v>201</v>
      </c>
      <c r="B33" s="32">
        <v>12220</v>
      </c>
      <c r="C33" s="129">
        <v>-1014503</v>
      </c>
      <c r="D33" s="129">
        <f>+C33+17093+738480</f>
        <v>-258930</v>
      </c>
      <c r="E33" s="130">
        <v>959784</v>
      </c>
      <c r="F33" s="130">
        <v>1337146</v>
      </c>
      <c r="G33" s="130">
        <v>0</v>
      </c>
      <c r="H33" s="130">
        <v>60900</v>
      </c>
      <c r="I33" s="54" t="s">
        <v>206</v>
      </c>
    </row>
  </sheetData>
  <mergeCells count="6">
    <mergeCell ref="A22:I22"/>
    <mergeCell ref="A21:I21"/>
    <mergeCell ref="A1:I1"/>
    <mergeCell ref="A2:I2"/>
    <mergeCell ref="A8:I8"/>
    <mergeCell ref="A7:I7"/>
  </mergeCells>
  <printOptions horizontalCentered="1"/>
  <pageMargins left="0.45" right="0.45" top="0.5" bottom="0.5" header="0.3" footer="0.3"/>
  <pageSetup scale="69" orientation="landscape" r:id="rId1"/>
  <headerFooter>
    <oddFooter>&amp;L&amp;"Times New Roman,Regular"&amp;10&amp;F&amp;R&amp;"Times New Roman,Regular"&amp;10&amp;P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23"/>
  <sheetViews>
    <sheetView zoomScale="90" zoomScaleNormal="90" workbookViewId="0">
      <selection activeCell="D15" sqref="D15"/>
    </sheetView>
  </sheetViews>
  <sheetFormatPr defaultColWidth="8.85546875" defaultRowHeight="15" x14ac:dyDescent="0.25"/>
  <cols>
    <col min="1" max="1" width="4" style="3" customWidth="1"/>
    <col min="2" max="2" width="98.7109375" style="3" customWidth="1"/>
    <col min="3" max="3" width="16.140625" style="3" bestFit="1" customWidth="1"/>
    <col min="4" max="5" width="19.28515625" style="3" customWidth="1"/>
    <col min="6" max="6" width="20.140625" style="3" customWidth="1"/>
    <col min="7" max="16384" width="8.85546875" style="3"/>
  </cols>
  <sheetData>
    <row r="1" spans="1:6" ht="21" customHeight="1" x14ac:dyDescent="0.3">
      <c r="A1" s="223" t="s">
        <v>94</v>
      </c>
      <c r="B1" s="223"/>
      <c r="C1" s="223"/>
      <c r="D1" s="223"/>
      <c r="E1" s="223"/>
      <c r="F1" s="223"/>
    </row>
    <row r="2" spans="1:6" s="14" customFormat="1" ht="20.25" x14ac:dyDescent="0.3">
      <c r="B2" s="207" t="s">
        <v>134</v>
      </c>
      <c r="C2" s="207"/>
      <c r="D2" s="207"/>
      <c r="E2" s="207"/>
      <c r="F2" s="207"/>
    </row>
    <row r="4" spans="1:6" ht="39" customHeight="1" x14ac:dyDescent="0.3">
      <c r="A4" s="7"/>
      <c r="B4" s="7" t="str">
        <f>CONCATENATE("Institution Name: ",'Trend Data '!B3:D3)</f>
        <v>Institution Name: University of West Georgia</v>
      </c>
      <c r="C4" s="35" t="s">
        <v>95</v>
      </c>
      <c r="D4" s="27" t="s">
        <v>53</v>
      </c>
      <c r="E4" s="38" t="s">
        <v>96</v>
      </c>
      <c r="F4" s="39"/>
    </row>
    <row r="5" spans="1:6" ht="18.75" x14ac:dyDescent="0.3">
      <c r="A5" s="7"/>
      <c r="C5" s="28"/>
      <c r="D5" s="27"/>
    </row>
    <row r="6" spans="1:6" ht="31.9" customHeight="1" x14ac:dyDescent="0.25">
      <c r="A6" s="224" t="s">
        <v>165</v>
      </c>
      <c r="B6" s="225"/>
      <c r="C6" s="225"/>
      <c r="D6" s="225"/>
      <c r="E6" s="225"/>
      <c r="F6" s="226"/>
    </row>
    <row r="8" spans="1:6" s="18" customFormat="1" ht="18.75" x14ac:dyDescent="0.3">
      <c r="A8" s="15"/>
      <c r="B8" s="16"/>
      <c r="C8" s="17"/>
      <c r="D8" s="220" t="s">
        <v>51</v>
      </c>
      <c r="E8" s="221"/>
      <c r="F8" s="222"/>
    </row>
    <row r="9" spans="1:6" s="18" customFormat="1" ht="57" customHeight="1" x14ac:dyDescent="0.3">
      <c r="A9" s="19"/>
      <c r="B9" s="20" t="s">
        <v>1</v>
      </c>
      <c r="C9" s="21" t="s">
        <v>32</v>
      </c>
      <c r="D9" s="21" t="s">
        <v>33</v>
      </c>
      <c r="E9" s="21" t="s">
        <v>60</v>
      </c>
      <c r="F9" s="21" t="s">
        <v>97</v>
      </c>
    </row>
    <row r="10" spans="1:6" ht="48.6" customHeight="1" x14ac:dyDescent="0.3">
      <c r="A10" s="52">
        <v>1</v>
      </c>
      <c r="B10" s="77" t="s">
        <v>167</v>
      </c>
      <c r="C10" s="54"/>
      <c r="D10" s="55"/>
      <c r="E10" s="55"/>
      <c r="F10" s="55"/>
    </row>
    <row r="11" spans="1:6" ht="48.6" customHeight="1" x14ac:dyDescent="0.3">
      <c r="A11" s="52">
        <v>2</v>
      </c>
      <c r="B11" s="53"/>
      <c r="C11" s="54"/>
      <c r="D11" s="55"/>
      <c r="E11" s="55"/>
      <c r="F11" s="55"/>
    </row>
    <row r="12" spans="1:6" ht="48" customHeight="1" x14ac:dyDescent="0.3">
      <c r="A12" s="52">
        <v>3</v>
      </c>
      <c r="B12" s="53"/>
      <c r="C12" s="54"/>
      <c r="D12" s="55"/>
      <c r="E12" s="55"/>
      <c r="F12" s="55"/>
    </row>
    <row r="13" spans="1:6" ht="48.6" customHeight="1" x14ac:dyDescent="0.3">
      <c r="A13" s="52">
        <v>4</v>
      </c>
      <c r="B13" s="53"/>
      <c r="C13" s="54"/>
      <c r="D13" s="55"/>
      <c r="E13" s="56"/>
      <c r="F13" s="56"/>
    </row>
    <row r="14" spans="1:6" ht="48.6" customHeight="1" x14ac:dyDescent="0.3">
      <c r="A14" s="52">
        <v>5</v>
      </c>
      <c r="B14" s="53"/>
      <c r="C14" s="54"/>
      <c r="D14" s="55"/>
      <c r="E14" s="55"/>
      <c r="F14" s="55"/>
    </row>
    <row r="15" spans="1:6" ht="48.6" customHeight="1" x14ac:dyDescent="0.3">
      <c r="A15" s="52">
        <v>6</v>
      </c>
      <c r="B15" s="53"/>
      <c r="C15" s="54"/>
      <c r="D15" s="55"/>
      <c r="E15" s="55"/>
      <c r="F15" s="55"/>
    </row>
    <row r="16" spans="1:6" ht="48.6" customHeight="1" x14ac:dyDescent="0.3">
      <c r="A16" s="52">
        <v>7</v>
      </c>
      <c r="B16" s="53"/>
      <c r="C16" s="54"/>
      <c r="D16" s="55"/>
      <c r="E16" s="55"/>
      <c r="F16" s="55"/>
    </row>
    <row r="17" spans="1:6" ht="48.6" customHeight="1" x14ac:dyDescent="0.3">
      <c r="A17" s="52">
        <v>8</v>
      </c>
      <c r="B17" s="53"/>
      <c r="C17" s="54"/>
      <c r="D17" s="55"/>
      <c r="E17" s="55"/>
      <c r="F17" s="55"/>
    </row>
    <row r="18" spans="1:6" ht="48.6" customHeight="1" x14ac:dyDescent="0.3">
      <c r="A18" s="52">
        <v>9</v>
      </c>
      <c r="B18" s="53"/>
      <c r="C18" s="54"/>
      <c r="D18" s="55"/>
      <c r="E18" s="55"/>
      <c r="F18" s="55"/>
    </row>
    <row r="19" spans="1:6" ht="48.6" customHeight="1" x14ac:dyDescent="0.3">
      <c r="A19" s="52">
        <v>10</v>
      </c>
      <c r="B19" s="53"/>
      <c r="C19" s="54"/>
      <c r="D19" s="55"/>
      <c r="E19" s="55"/>
      <c r="F19" s="55"/>
    </row>
    <row r="20" spans="1:6" ht="19.5" thickBot="1" x14ac:dyDescent="0.35">
      <c r="A20" s="57"/>
      <c r="B20" s="4"/>
      <c r="C20" s="4"/>
      <c r="D20" s="4"/>
      <c r="E20" s="4"/>
      <c r="F20" s="4"/>
    </row>
    <row r="21" spans="1:6" ht="22.15" customHeight="1" thickBot="1" x14ac:dyDescent="0.35">
      <c r="A21" s="58"/>
      <c r="B21" s="23" t="s">
        <v>0</v>
      </c>
      <c r="C21" s="59"/>
      <c r="D21" s="60">
        <f>SUM(D10:D19)</f>
        <v>0</v>
      </c>
      <c r="E21" s="60">
        <f t="shared" ref="E21:F21" si="0">SUM(E10:E19)</f>
        <v>0</v>
      </c>
      <c r="F21" s="60">
        <f t="shared" si="0"/>
        <v>0</v>
      </c>
    </row>
    <row r="22" spans="1:6" x14ac:dyDescent="0.25">
      <c r="A22" s="22"/>
    </row>
    <row r="23" spans="1:6" x14ac:dyDescent="0.25">
      <c r="A23" s="22"/>
    </row>
  </sheetData>
  <customSheetViews>
    <customSheetView guid="{7EBEC4A1-7860-4B15-928B-78DDE884C503}" scale="90" showPageBreaks="1" fitToPage="1">
      <selection activeCell="E4" sqref="E4"/>
      <pageMargins left="0.2" right="0.2" top="0.25" bottom="0.25" header="0.3" footer="0.3"/>
      <printOptions horizontalCentered="1"/>
      <pageSetup scale="76" orientation="landscape" r:id="rId1"/>
    </customSheetView>
  </customSheetViews>
  <mergeCells count="4">
    <mergeCell ref="D8:F8"/>
    <mergeCell ref="A1:F1"/>
    <mergeCell ref="B2:F2"/>
    <mergeCell ref="A6:F6"/>
  </mergeCells>
  <printOptions horizontalCentered="1"/>
  <pageMargins left="0.2" right="0.2" top="0.25" bottom="0.25" header="0.3" footer="0.3"/>
  <pageSetup scale="7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Trend Data </vt:lpstr>
      <vt:lpstr>Enrollment By Campus or Site</vt:lpstr>
      <vt:lpstr>Faculty Work Load</vt:lpstr>
      <vt:lpstr>Reserve Balances</vt:lpstr>
      <vt:lpstr>Reduction Actions</vt:lpstr>
      <vt:lpstr>'Enrollment By Campus or Site'!Print_Area</vt:lpstr>
      <vt:lpstr>'Trend Data '!Print_Area</vt:lpstr>
      <vt:lpstr>'Enrollment By Campus or Site'!Print_Titles</vt:lpstr>
      <vt:lpstr>'Trend Data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borsots</dc:creator>
  <cp:lastModifiedBy>Windows User</cp:lastModifiedBy>
  <cp:lastPrinted>2015-10-21T14:29:10Z</cp:lastPrinted>
  <dcterms:created xsi:type="dcterms:W3CDTF">2012-03-12T17:21:14Z</dcterms:created>
  <dcterms:modified xsi:type="dcterms:W3CDTF">2018-10-02T15:36:47Z</dcterms:modified>
</cp:coreProperties>
</file>